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updateLinks="never" codeName="ThisWorkbook"/>
  <xr:revisionPtr revIDLastSave="0" documentId="13_ncr:1_{07BAB90D-C60B-46F5-8599-4635280623FA}" xr6:coauthVersionLast="47" xr6:coauthVersionMax="47" xr10:uidLastSave="{00000000-0000-0000-0000-000000000000}"/>
  <bookViews>
    <workbookView xWindow="-120" yWindow="-120" windowWidth="29040" windowHeight="15840" activeTab="1" xr2:uid="{00000000-000D-0000-FFFF-FFFF00000000}"/>
  </bookViews>
  <sheets>
    <sheet name="Solicitation Calulator" sheetId="6" r:id="rId1"/>
    <sheet name="PCMS Solicitation Timeline" sheetId="2" r:id="rId2"/>
    <sheet name="Variables" sheetId="1" state="hidden" r:id="rId3"/>
    <sheet name="Holidays Dont Touch" sheetId="4" state="hidden" r:id="rId4"/>
    <sheet name="Validation" sheetId="5" state="hidden" r:id="rId5"/>
  </sheets>
  <externalReferences>
    <externalReference r:id="rId6"/>
  </externalReferences>
  <definedNames>
    <definedName name="_xlcn.WorksheetConnection_TimelineB5E231" hidden="1">'PCMS Solicitation Timeline'!$B$12:$C$31</definedName>
    <definedName name="AprSun1">DATE(CalendarYear,4,1)-WEEKDAY(DATE(CalendarYear,4,1))</definedName>
    <definedName name="AprSunYear2">DATE(CalendarYear+1,4,1)-WEEKDAY(DATE(CalendarYear+1,4,1))</definedName>
    <definedName name="AugSun1">DATE(CalendarYear,8,1)-WEEKDAY(DATE(CalendarYear,8,1))</definedName>
    <definedName name="AugSunYear2">DATE(CalendarYear+1,8,1)-WEEKDAY(DATE(CalendarYear+1,8,1))</definedName>
    <definedName name="BeginResearch">'PCMS Solicitation Timeline'!$C$13</definedName>
    <definedName name="Calendar">DATE(CalendarYear,6,1)-WEEKDAY(DATE(CalendarYear,6,1))</definedName>
    <definedName name="CalendarYear">'PCMS Solicitation Timeline'!$E$11</definedName>
    <definedName name="CompleteResearch">'PCMS Solicitation Timeline'!$C$14</definedName>
    <definedName name="DecSun1">DATE(CalendarYear,12,1)-WEEKDAY(DATE(CalendarYear,12,1))</definedName>
    <definedName name="DecSunYear2">DATE(CalendarYear+1,12,1)-WEEKDAY(DATE(CalendarYear+1,12,1))</definedName>
    <definedName name="FebSun1">DATE(CalendarYear,2,1)-WEEKDAY(DATE(CalendarYear,2,1))</definedName>
    <definedName name="FebSunYear2">DATE(CalendarYear+1,2,1)-WEEKDAY(DATE(CalendarYear+1,2,1))</definedName>
    <definedName name="JanSun1">DATE(CalendarYear,1,1)-WEEKDAY(DATE(CalendarYear,1,1))</definedName>
    <definedName name="JanSunYear2">DATE(CalendarYear+1,1,1)-WEEKDAY(DATE(CalendarYear+1,1,1))</definedName>
    <definedName name="JulSun1">DATE(CalendarYear,7,1)-WEEKDAY(DATE(CalendarYear,7,1))</definedName>
    <definedName name="JulSunYear2">DATE(CalendarYear+1,7,1)-WEEKDAY(DATE(CalendarYear+1,7,1))</definedName>
    <definedName name="JunSun1">DATE(CalendarYear,6,1)-WEEKDAY(DATE(CalendarYear,6,1))</definedName>
    <definedName name="JunSunYear2">DATE(CalendarYear+1,6,1)-WEEKDAY(DATE(CalendarYear+1,6,1))</definedName>
    <definedName name="MarSun1">DATE(CalendarYear,3,1)-WEEKDAY(DATE(CalendarYear,3,1))</definedName>
    <definedName name="MarSunYear2">DATE(CalendarYear+1,3,1)-WEEKDAY(DATE(CalendarYear+1,3,1))</definedName>
    <definedName name="MaySun1">DATE(CalendarYear,5,1)-WEEKDAY(DATE(CalendarYear,5,1))</definedName>
    <definedName name="MaySunYear2">DATE(CalendarYear+1,5,1)-WEEKDAY(DATE(CalendarYear+1,5,1))</definedName>
    <definedName name="NovSun1">DATE(CalendarYear,11,1)-WEEKDAY(DATE(CalendarYear,11,1))</definedName>
    <definedName name="NovSunYear2">DATE(CalendarYear+1,11,1)-WEEKDAY(DATE(CalendarYear+1,11,1))</definedName>
    <definedName name="OctSun1">DATE(CalendarYear,10,1)-WEEKDAY(DATE(CalendarYear,10,1))</definedName>
    <definedName name="OctSunYear2">DATE(CalendarYear+1,10,1)-WEEKDAY(DATE(CalendarYear+1,10,1))</definedName>
    <definedName name="SepSun1">DATE(CalendarYear,9,1)-WEEKDAY(DATE(CalendarYear,9,1))</definedName>
    <definedName name="SepSunYear2">DATE(CalendarYear+1,9,1)-WEEKDAY(DATE(CalendarYear+1,9,1))</definedName>
    <definedName name="solver_eng" localSheetId="1" hidden="1">1</definedName>
    <definedName name="solver_neg" localSheetId="1" hidden="1">1</definedName>
    <definedName name="solver_num" localSheetId="1" hidden="1">0</definedName>
    <definedName name="solver_opt" localSheetId="1" hidden="1">'PCMS Solicitation Timeline'!$AP$20</definedName>
    <definedName name="solver_typ" localSheetId="1" hidden="1">1</definedName>
    <definedName name="solver_val" localSheetId="1" hidden="1">0</definedName>
    <definedName name="solver_ver" localSheetId="1" hidden="1">3</definedName>
    <definedName name="TimelineDates">'PCMS Solicitation Timeline'!$C$13:$C$19,'PCMS Solicitation Timeline'!$C$21:$C$31</definedName>
    <definedName name="weekend">[1]Settings!$C$5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Timeline!$B$5:$E$2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 l="1"/>
  <c r="C20" i="2" l="1"/>
  <c r="L7" i="4" l="1"/>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 i="4"/>
  <c r="E16" i="6"/>
  <c r="E17" i="6" s="1"/>
  <c r="E19" i="6" l="1"/>
  <c r="E12" i="2" l="1"/>
  <c r="I35" i="4" l="1"/>
  <c r="J35" i="4" s="1"/>
  <c r="G35" i="4"/>
  <c r="E35" i="4"/>
  <c r="D35" i="4"/>
  <c r="I34" i="4"/>
  <c r="J34" i="4" s="1"/>
  <c r="G34" i="4"/>
  <c r="E34" i="4"/>
  <c r="D34" i="4"/>
  <c r="I33" i="4"/>
  <c r="J33" i="4" s="1"/>
  <c r="G33" i="4"/>
  <c r="E33" i="4"/>
  <c r="D33" i="4"/>
  <c r="I32" i="4"/>
  <c r="J32" i="4" s="1"/>
  <c r="G32" i="4"/>
  <c r="E32" i="4"/>
  <c r="D32" i="4"/>
  <c r="I31" i="4"/>
  <c r="J31" i="4" s="1"/>
  <c r="G31" i="4"/>
  <c r="E31" i="4"/>
  <c r="D31" i="4"/>
  <c r="I30" i="4"/>
  <c r="J30" i="4" s="1"/>
  <c r="G30" i="4"/>
  <c r="E30" i="4"/>
  <c r="D30" i="4"/>
  <c r="I29" i="4"/>
  <c r="J29" i="4" s="1"/>
  <c r="G29" i="4"/>
  <c r="E29" i="4"/>
  <c r="D29" i="4"/>
  <c r="I28" i="4"/>
  <c r="J28" i="4" s="1"/>
  <c r="G28" i="4"/>
  <c r="E28" i="4"/>
  <c r="D28" i="4"/>
  <c r="I27" i="4"/>
  <c r="J27" i="4" s="1"/>
  <c r="G27" i="4"/>
  <c r="E27" i="4"/>
  <c r="D27" i="4"/>
  <c r="I26" i="4"/>
  <c r="J26" i="4" s="1"/>
  <c r="G26" i="4"/>
  <c r="E26" i="4"/>
  <c r="D26" i="4"/>
  <c r="I25" i="4"/>
  <c r="J25" i="4" s="1"/>
  <c r="G25" i="4"/>
  <c r="E25" i="4"/>
  <c r="D25" i="4"/>
  <c r="I24" i="4"/>
  <c r="J24" i="4" s="1"/>
  <c r="G24" i="4"/>
  <c r="E24" i="4"/>
  <c r="D24" i="4"/>
  <c r="I23" i="4"/>
  <c r="J23" i="4" s="1"/>
  <c r="G23" i="4"/>
  <c r="E23" i="4"/>
  <c r="D23" i="4"/>
  <c r="I22" i="4"/>
  <c r="J22" i="4" s="1"/>
  <c r="G22" i="4"/>
  <c r="E22" i="4"/>
  <c r="D22" i="4"/>
  <c r="I21" i="4"/>
  <c r="J21" i="4" s="1"/>
  <c r="G21" i="4"/>
  <c r="E21" i="4"/>
  <c r="D21" i="4"/>
  <c r="I20" i="4"/>
  <c r="J20" i="4" s="1"/>
  <c r="G20" i="4"/>
  <c r="E20" i="4"/>
  <c r="D20" i="4"/>
  <c r="I19" i="4"/>
  <c r="J19" i="4" s="1"/>
  <c r="G19" i="4"/>
  <c r="E19" i="4"/>
  <c r="D19" i="4"/>
  <c r="I18" i="4"/>
  <c r="J18" i="4" s="1"/>
  <c r="G18" i="4"/>
  <c r="E18" i="4"/>
  <c r="D18" i="4"/>
  <c r="I17" i="4"/>
  <c r="J17" i="4" s="1"/>
  <c r="G17" i="4"/>
  <c r="E17" i="4"/>
  <c r="D17" i="4"/>
  <c r="I16" i="4"/>
  <c r="J16" i="4" s="1"/>
  <c r="G16" i="4"/>
  <c r="E16" i="4"/>
  <c r="D16" i="4"/>
  <c r="I15" i="4"/>
  <c r="J15" i="4" s="1"/>
  <c r="G15" i="4"/>
  <c r="E15" i="4"/>
  <c r="D15" i="4"/>
  <c r="I14" i="4"/>
  <c r="J14" i="4" s="1"/>
  <c r="G14" i="4"/>
  <c r="E14" i="4"/>
  <c r="D14" i="4"/>
  <c r="I13" i="4"/>
  <c r="J13" i="4" s="1"/>
  <c r="G13" i="4"/>
  <c r="E13" i="4"/>
  <c r="D13" i="4"/>
  <c r="I12" i="4"/>
  <c r="J12" i="4" s="1"/>
  <c r="G12" i="4"/>
  <c r="E12" i="4"/>
  <c r="D12" i="4"/>
  <c r="I11" i="4"/>
  <c r="J11" i="4" s="1"/>
  <c r="G11" i="4"/>
  <c r="E11" i="4"/>
  <c r="D11" i="4"/>
  <c r="I10" i="4"/>
  <c r="J10" i="4" s="1"/>
  <c r="G10" i="4"/>
  <c r="E10" i="4"/>
  <c r="D10" i="4"/>
  <c r="I9" i="4"/>
  <c r="J9" i="4" s="1"/>
  <c r="G9" i="4"/>
  <c r="E9" i="4"/>
  <c r="D9" i="4"/>
  <c r="I8" i="4"/>
  <c r="J8" i="4" s="1"/>
  <c r="G8" i="4"/>
  <c r="E8" i="4"/>
  <c r="D8" i="4"/>
  <c r="I7" i="4"/>
  <c r="J7" i="4" s="1"/>
  <c r="G7" i="4"/>
  <c r="E7" i="4"/>
  <c r="D7" i="4"/>
  <c r="I6" i="4"/>
  <c r="J6" i="4" s="1"/>
  <c r="G6" i="4"/>
  <c r="E6" i="4"/>
  <c r="D6" i="4"/>
  <c r="I5" i="4"/>
  <c r="J5" i="4" s="1"/>
  <c r="G5" i="4"/>
  <c r="E5" i="4"/>
  <c r="D5" i="4"/>
  <c r="I4" i="4"/>
  <c r="J4" i="4" s="1"/>
  <c r="G4" i="4"/>
  <c r="E4" i="4"/>
  <c r="D4" i="4"/>
  <c r="I3" i="4"/>
  <c r="J3" i="4" s="1"/>
  <c r="G3" i="4"/>
  <c r="E3" i="4"/>
  <c r="D3" i="4"/>
  <c r="B2" i="1"/>
  <c r="C13" i="2" s="1"/>
  <c r="C14" i="2" s="1"/>
  <c r="C15" i="2" s="1"/>
  <c r="C16" i="2" s="1"/>
  <c r="C17" i="2" s="1"/>
  <c r="C18" i="2" s="1"/>
  <c r="C19" i="2" s="1"/>
  <c r="C22" i="2" l="1"/>
  <c r="C23" i="2" s="1"/>
  <c r="C24" i="2" s="1"/>
  <c r="C25" i="2" s="1"/>
  <c r="C26" i="2" s="1"/>
  <c r="C27" i="2" s="1"/>
  <c r="C28" i="2" s="1"/>
  <c r="C29" i="2" s="1"/>
  <c r="C31" i="2" s="1"/>
  <c r="C21" i="2"/>
  <c r="E18" i="6"/>
  <c r="F18" i="6" s="1"/>
  <c r="E20" i="6"/>
  <c r="F19" i="6" s="1"/>
  <c r="F17" i="6"/>
  <c r="E11" i="2"/>
  <c r="AY11" i="2" s="1"/>
  <c r="D19" i="6" l="1"/>
  <c r="F20" i="6"/>
  <c r="BA42" i="2"/>
  <c r="BA40" i="2"/>
  <c r="Y11" i="2"/>
  <c r="AU39" i="2"/>
  <c r="BA43" i="2"/>
  <c r="AW41" i="2"/>
  <c r="AQ42" i="2"/>
  <c r="AV41" i="2"/>
  <c r="G35" i="2"/>
  <c r="Z11" i="2"/>
  <c r="AY43" i="2"/>
  <c r="AO40" i="2"/>
  <c r="BA39" i="2"/>
  <c r="AY42" i="2"/>
  <c r="AX41" i="2"/>
  <c r="AX40" i="2"/>
  <c r="AO44" i="2"/>
  <c r="AY40" i="2"/>
  <c r="J33" i="2"/>
  <c r="AW44" i="2"/>
  <c r="AY41" i="2"/>
  <c r="AW40" i="2"/>
  <c r="AU41" i="2"/>
  <c r="AU43" i="2"/>
  <c r="AW43" i="2"/>
  <c r="AR39" i="2"/>
  <c r="AM42" i="2"/>
  <c r="S30" i="2"/>
  <c r="BA44" i="2"/>
  <c r="AU42" i="2"/>
  <c r="AX43" i="2"/>
  <c r="AS44" i="2"/>
  <c r="AZ43" i="2"/>
  <c r="AU40" i="2"/>
  <c r="AZ39" i="2"/>
  <c r="AY39" i="2"/>
  <c r="BA41" i="2"/>
  <c r="AZ41" i="2"/>
  <c r="AV42" i="2"/>
  <c r="AN43" i="2"/>
  <c r="AI44" i="2"/>
  <c r="AI43" i="2"/>
  <c r="AF41" i="2"/>
  <c r="AC43" i="2"/>
  <c r="Y41" i="2"/>
  <c r="Y39" i="2"/>
  <c r="U42" i="2"/>
  <c r="R41" i="2"/>
  <c r="I44" i="2"/>
  <c r="G42" i="2"/>
  <c r="L39" i="2"/>
  <c r="AR44" i="2"/>
  <c r="AP42" i="2"/>
  <c r="AN40" i="2"/>
  <c r="AC44" i="2"/>
  <c r="AJ42" i="2"/>
  <c r="AH40" i="2"/>
  <c r="X43" i="2"/>
  <c r="AC40" i="2"/>
  <c r="AP43" i="2"/>
  <c r="AN41" i="2"/>
  <c r="AK44" i="2"/>
  <c r="AK43" i="2"/>
  <c r="AH41" i="2"/>
  <c r="AF39" i="2"/>
  <c r="AA41" i="2"/>
  <c r="AA39" i="2"/>
  <c r="P43" i="2"/>
  <c r="S40" i="2"/>
  <c r="K44" i="2"/>
  <c r="I42" i="2"/>
  <c r="G40" i="2"/>
  <c r="AZ34" i="2"/>
  <c r="AR42" i="2"/>
  <c r="AP40" i="2"/>
  <c r="AF44" i="2"/>
  <c r="AF43" i="2"/>
  <c r="AJ40" i="2"/>
  <c r="Z43" i="2"/>
  <c r="X41" i="2"/>
  <c r="R44" i="2"/>
  <c r="U39" i="2"/>
  <c r="I41" i="2"/>
  <c r="X39" i="2"/>
  <c r="L40" i="2"/>
  <c r="M43" i="2"/>
  <c r="P44" i="2"/>
  <c r="S39" i="2"/>
  <c r="G41" i="2"/>
  <c r="U43" i="2"/>
  <c r="M41" i="2"/>
  <c r="O41" i="2"/>
  <c r="AV35" i="2"/>
  <c r="AZ32" i="2"/>
  <c r="AX30" i="2"/>
  <c r="AN34" i="2"/>
  <c r="AS31" i="2"/>
  <c r="AN30" i="2"/>
  <c r="AX33" i="2"/>
  <c r="AQ32" i="2"/>
  <c r="AV33" i="2"/>
  <c r="BA30" i="2"/>
  <c r="AQ34" i="2"/>
  <c r="AO32" i="2"/>
  <c r="AV30" i="2"/>
  <c r="AQ30" i="2"/>
  <c r="AS34" i="2"/>
  <c r="AY33" i="2"/>
  <c r="AW31" i="2"/>
  <c r="AN32" i="2"/>
  <c r="AR33" i="2"/>
  <c r="AM28" i="2"/>
  <c r="AM37" i="2"/>
  <c r="G8" i="2"/>
  <c r="AE35" i="2"/>
  <c r="L35" i="2"/>
  <c r="Z34" i="2"/>
  <c r="H34" i="2"/>
  <c r="U33" i="2"/>
  <c r="AZ40" i="2"/>
  <c r="AV44" i="2"/>
  <c r="AW42" i="2"/>
  <c r="AV39" i="2"/>
  <c r="AS40" i="2"/>
  <c r="AE43" i="2"/>
  <c r="AI40" i="2"/>
  <c r="AB42" i="2"/>
  <c r="AC39" i="2"/>
  <c r="Q42" i="2"/>
  <c r="R39" i="2"/>
  <c r="K42" i="2"/>
  <c r="H39" i="2"/>
  <c r="AQ43" i="2"/>
  <c r="AR40" i="2"/>
  <c r="Y44" i="2"/>
  <c r="AI41" i="2"/>
  <c r="AB43" i="2"/>
  <c r="Y40" i="2"/>
  <c r="AO42" i="2"/>
  <c r="AP39" i="2"/>
  <c r="AG43" i="2"/>
  <c r="AG40" i="2"/>
  <c r="Z42" i="2"/>
  <c r="U44" i="2"/>
  <c r="O42" i="2"/>
  <c r="P39" i="2"/>
  <c r="L41" i="2"/>
  <c r="BA35" i="2"/>
  <c r="AO43" i="2"/>
  <c r="AS39" i="2"/>
  <c r="W44" i="2"/>
  <c r="AG41" i="2"/>
  <c r="AC42" i="2"/>
  <c r="W40" i="2"/>
  <c r="T40" i="2"/>
  <c r="H40" i="2"/>
  <c r="Q39" i="2"/>
  <c r="P40" i="2"/>
  <c r="O43" i="2"/>
  <c r="I43" i="2"/>
  <c r="AY34" i="2"/>
  <c r="K39" i="2"/>
  <c r="L42" i="2"/>
  <c r="AW33" i="2"/>
  <c r="AS35" i="2"/>
  <c r="AM33" i="2"/>
  <c r="AO30" i="2"/>
  <c r="AW32" i="2"/>
  <c r="AW34" i="2"/>
  <c r="AX31" i="2"/>
  <c r="AM34" i="2"/>
  <c r="AN31" i="2"/>
  <c r="AQ31" i="2"/>
  <c r="AN33" i="2"/>
  <c r="AX32" i="2"/>
  <c r="AS33" i="2"/>
  <c r="AM32" i="2"/>
  <c r="O37" i="2"/>
  <c r="G27" i="2"/>
  <c r="Z35" i="2"/>
  <c r="AI34" i="2"/>
  <c r="L34" i="2"/>
  <c r="Q33" i="2"/>
  <c r="AE32" i="2"/>
  <c r="L32" i="2"/>
  <c r="Z31" i="2"/>
  <c r="H31" i="2"/>
  <c r="U30" i="2"/>
  <c r="O28" i="2"/>
  <c r="AK24" i="2"/>
  <c r="AY23" i="2"/>
  <c r="AG23" i="2"/>
  <c r="AU22" i="2"/>
  <c r="AB22" i="2"/>
  <c r="AP21" i="2"/>
  <c r="X21" i="2"/>
  <c r="AK20" i="2"/>
  <c r="AH35" i="2"/>
  <c r="P35" i="2"/>
  <c r="Y34" i="2"/>
  <c r="G34" i="2"/>
  <c r="T33" i="2"/>
  <c r="AH32" i="2"/>
  <c r="P32" i="2"/>
  <c r="AC31" i="2"/>
  <c r="K31" i="2"/>
  <c r="Y30" i="2"/>
  <c r="G30" i="2"/>
  <c r="AV43" i="2"/>
  <c r="AX42" i="2"/>
  <c r="AW39" i="2"/>
  <c r="AX39" i="2"/>
  <c r="AN39" i="2"/>
  <c r="AK42" i="2"/>
  <c r="AE40" i="2"/>
  <c r="AC41" i="2"/>
  <c r="S44" i="2"/>
  <c r="T41" i="2"/>
  <c r="M44" i="2"/>
  <c r="J41" i="2"/>
  <c r="AY35" i="2"/>
  <c r="AM43" i="2"/>
  <c r="AQ39" i="2"/>
  <c r="W39" i="2"/>
  <c r="AE41" i="2"/>
  <c r="AA42" i="2"/>
  <c r="AQ44" i="2"/>
  <c r="AR41" i="2"/>
  <c r="AG44" i="2"/>
  <c r="AI42" i="2"/>
  <c r="AJ39" i="2"/>
  <c r="X42" i="2"/>
  <c r="Q44" i="2"/>
  <c r="P41" i="2"/>
  <c r="G44" i="2"/>
  <c r="H41" i="2"/>
  <c r="AW35" i="2"/>
  <c r="AN42" i="2"/>
  <c r="AO39" i="2"/>
  <c r="AJ43" i="2"/>
  <c r="AF40" i="2"/>
  <c r="Y42" i="2"/>
  <c r="AB39" i="2"/>
  <c r="L44" i="2"/>
  <c r="G39" i="2"/>
  <c r="G43" i="2"/>
  <c r="K41" i="2"/>
  <c r="U41" i="2"/>
  <c r="H42" i="2"/>
  <c r="T42" i="2"/>
  <c r="T44" i="2"/>
  <c r="J40" i="2"/>
  <c r="AV32" i="2"/>
  <c r="AO35" i="2"/>
  <c r="AP32" i="2"/>
  <c r="AM35" i="2"/>
  <c r="AY30" i="2"/>
  <c r="AZ33" i="2"/>
  <c r="AW30" i="2"/>
  <c r="AP33" i="2"/>
  <c r="AS30" i="2"/>
  <c r="BA32" i="2"/>
  <c r="AP31" i="2"/>
  <c r="BA31" i="2"/>
  <c r="AU34" i="2"/>
  <c r="AP30" i="2"/>
  <c r="AU28" i="2"/>
  <c r="AU9" i="2"/>
  <c r="U35" i="2"/>
  <c r="AE34" i="2"/>
  <c r="AI33" i="2"/>
  <c r="L33" i="2"/>
  <c r="Z32" i="2"/>
  <c r="H32" i="2"/>
  <c r="U31" i="2"/>
  <c r="AI30" i="2"/>
  <c r="Q30" i="2"/>
  <c r="AY24" i="2"/>
  <c r="AG24" i="2"/>
  <c r="AU23" i="2"/>
  <c r="AB23" i="2"/>
  <c r="AP22" i="2"/>
  <c r="X22" i="2"/>
  <c r="AK21" i="2"/>
  <c r="AY20" i="2"/>
  <c r="AG20" i="2"/>
  <c r="AC35" i="2"/>
  <c r="K35" i="2"/>
  <c r="T34" i="2"/>
  <c r="AH33" i="2"/>
  <c r="P33" i="2"/>
  <c r="AC32" i="2"/>
  <c r="K32" i="2"/>
  <c r="AV40" i="2"/>
  <c r="AX44" i="2"/>
  <c r="AE44" i="2"/>
  <c r="AH39" i="2"/>
  <c r="O44" i="2"/>
  <c r="L43" i="2"/>
  <c r="AU35" i="2"/>
  <c r="AM39" i="2"/>
  <c r="AK39" i="2"/>
  <c r="AM44" i="2"/>
  <c r="AB44" i="2"/>
  <c r="AA43" i="2"/>
  <c r="T43" i="2"/>
  <c r="J43" i="2"/>
  <c r="AP44" i="2"/>
  <c r="AJ44" i="2"/>
  <c r="AI39" i="2"/>
  <c r="Q43" i="2"/>
  <c r="BA34" i="2"/>
  <c r="I39" i="2"/>
  <c r="M39" i="2"/>
  <c r="R42" i="2"/>
  <c r="AY31" i="2"/>
  <c r="AO31" i="2"/>
  <c r="AO34" i="2"/>
  <c r="AR35" i="2"/>
  <c r="AP34" i="2"/>
  <c r="AV34" i="2"/>
  <c r="AZ31" i="2"/>
  <c r="G37" i="2"/>
  <c r="Q35" i="2"/>
  <c r="AE33" i="2"/>
  <c r="U32" i="2"/>
  <c r="Q31" i="2"/>
  <c r="L30" i="2"/>
  <c r="AB24" i="2"/>
  <c r="X23" i="2"/>
  <c r="AY21" i="2"/>
  <c r="AU20" i="2"/>
  <c r="Y35" i="2"/>
  <c r="P34" i="2"/>
  <c r="K33" i="2"/>
  <c r="G32" i="2"/>
  <c r="P31" i="2"/>
  <c r="T30" i="2"/>
  <c r="AX24" i="2"/>
  <c r="AF24" i="2"/>
  <c r="AS23" i="2"/>
  <c r="AA23" i="2"/>
  <c r="AO22" i="2"/>
  <c r="W22" i="2"/>
  <c r="AJ21" i="2"/>
  <c r="AX20" i="2"/>
  <c r="AF20" i="2"/>
  <c r="AB35" i="2"/>
  <c r="J35" i="2"/>
  <c r="X34" i="2"/>
  <c r="AK33" i="2"/>
  <c r="S33" i="2"/>
  <c r="AB32" i="2"/>
  <c r="J32" i="2"/>
  <c r="X31" i="2"/>
  <c r="AK30" i="2"/>
  <c r="O30" i="2"/>
  <c r="AW24" i="2"/>
  <c r="AE24" i="2"/>
  <c r="AR23" i="2"/>
  <c r="Z23" i="2"/>
  <c r="AN22" i="2"/>
  <c r="BA21" i="2"/>
  <c r="AI21" i="2"/>
  <c r="AW20" i="2"/>
  <c r="AE20" i="2"/>
  <c r="AF34" i="2"/>
  <c r="W32" i="2"/>
  <c r="M30" i="2"/>
  <c r="AZ22" i="2"/>
  <c r="AQ20" i="2"/>
  <c r="P25" i="2"/>
  <c r="AS16" i="2"/>
  <c r="K24" i="2"/>
  <c r="AO15" i="2"/>
  <c r="G23" i="2"/>
  <c r="T22" i="2"/>
  <c r="AX13" i="2"/>
  <c r="P21" i="2"/>
  <c r="AS12" i="2"/>
  <c r="K20" i="2"/>
  <c r="AZ44" i="2"/>
  <c r="AZ42" i="2"/>
  <c r="Z44" i="2"/>
  <c r="Y43" i="2"/>
  <c r="R43" i="2"/>
  <c r="H43" i="2"/>
  <c r="AN44" i="2"/>
  <c r="AH44" i="2"/>
  <c r="AG39" i="2"/>
  <c r="AS42" i="2"/>
  <c r="X44" i="2"/>
  <c r="W43" i="2"/>
  <c r="S42" i="2"/>
  <c r="M42" i="2"/>
  <c r="AS43" i="2"/>
  <c r="AA44" i="2"/>
  <c r="AE39" i="2"/>
  <c r="P42" i="2"/>
  <c r="S41" i="2"/>
  <c r="Z39" i="2"/>
  <c r="AZ35" i="2"/>
  <c r="O39" i="2"/>
  <c r="AU31" i="2"/>
  <c r="AM30" i="2"/>
  <c r="AR30" i="2"/>
  <c r="AN35" i="2"/>
  <c r="AR32" i="2"/>
  <c r="AU33" i="2"/>
  <c r="AP35" i="2"/>
  <c r="AE37" i="2"/>
  <c r="H35" i="2"/>
  <c r="Z33" i="2"/>
  <c r="Q32" i="2"/>
  <c r="L31" i="2"/>
  <c r="H30" i="2"/>
  <c r="X24" i="2"/>
  <c r="AY22" i="2"/>
  <c r="AU21" i="2"/>
  <c r="AP20" i="2"/>
  <c r="T35" i="2"/>
  <c r="K34" i="2"/>
  <c r="G33" i="2"/>
  <c r="AH31" i="2"/>
  <c r="G31" i="2"/>
  <c r="P30" i="2"/>
  <c r="AS24" i="2"/>
  <c r="AA24" i="2"/>
  <c r="AO23" i="2"/>
  <c r="W23" i="2"/>
  <c r="AJ22" i="2"/>
  <c r="AX21" i="2"/>
  <c r="AF21" i="2"/>
  <c r="AS20" i="2"/>
  <c r="AA20" i="2"/>
  <c r="X35" i="2"/>
  <c r="AK34" i="2"/>
  <c r="S34" i="2"/>
  <c r="AG33" i="2"/>
  <c r="O33" i="2"/>
  <c r="X32" i="2"/>
  <c r="AK31" i="2"/>
  <c r="S31" i="2"/>
  <c r="AG30" i="2"/>
  <c r="J30" i="2"/>
  <c r="AR24" i="2"/>
  <c r="Z24" i="2"/>
  <c r="AN23" i="2"/>
  <c r="BA22" i="2"/>
  <c r="AI22" i="2"/>
  <c r="AW21" i="2"/>
  <c r="AE21" i="2"/>
  <c r="AR20" i="2"/>
  <c r="Z20" i="2"/>
  <c r="M34" i="2"/>
  <c r="AJ31" i="2"/>
  <c r="AQ24" i="2"/>
  <c r="AH22" i="2"/>
  <c r="Y20" i="2"/>
  <c r="K25" i="2"/>
  <c r="AO16" i="2"/>
  <c r="G24" i="2"/>
  <c r="T23" i="2"/>
  <c r="AX14" i="2"/>
  <c r="P22" i="2"/>
  <c r="AS13" i="2"/>
  <c r="K21" i="2"/>
  <c r="AO12" i="2"/>
  <c r="G20" i="2"/>
  <c r="G18" i="2"/>
  <c r="W16" i="2"/>
  <c r="AI15" i="2"/>
  <c r="Q15" i="2"/>
  <c r="AE14" i="2"/>
  <c r="AF35" i="2"/>
  <c r="W33" i="2"/>
  <c r="M31" i="2"/>
  <c r="AZ23" i="2"/>
  <c r="AQ21" i="2"/>
  <c r="AE18" i="2"/>
  <c r="BA16" i="2"/>
  <c r="S24" i="2"/>
  <c r="AW15" i="2"/>
  <c r="O23" i="2"/>
  <c r="AR14" i="2"/>
  <c r="J22" i="2"/>
  <c r="AN13" i="2"/>
  <c r="BA12" i="2"/>
  <c r="S20" i="2"/>
  <c r="AW11" i="2"/>
  <c r="AE16" i="2"/>
  <c r="L16" i="2"/>
  <c r="Y15" i="2"/>
  <c r="G15" i="2"/>
  <c r="AA35" i="2"/>
  <c r="R33" i="2"/>
  <c r="I31" i="2"/>
  <c r="AH24" i="2"/>
  <c r="Y22" i="2"/>
  <c r="W20" i="2"/>
  <c r="I25" i="2"/>
  <c r="AM16" i="2"/>
  <c r="AZ15" i="2"/>
  <c r="R23" i="2"/>
  <c r="AV14" i="2"/>
  <c r="M22" i="2"/>
  <c r="AQ13" i="2"/>
  <c r="I21" i="2"/>
  <c r="AM12" i="2"/>
  <c r="AZ11" i="2"/>
  <c r="AM9" i="2"/>
  <c r="T16" i="2"/>
  <c r="AG15" i="2"/>
  <c r="O15" i="2"/>
  <c r="AB14" i="2"/>
  <c r="J14" i="2"/>
  <c r="X13" i="2"/>
  <c r="AK12" i="2"/>
  <c r="S12" i="2"/>
  <c r="AG11" i="2"/>
  <c r="O11" i="2"/>
  <c r="AJ34" i="2"/>
  <c r="AA32" i="2"/>
  <c r="R30" i="2"/>
  <c r="Y23" i="2"/>
  <c r="AV20" i="2"/>
  <c r="Q25" i="2"/>
  <c r="AU16" i="2"/>
  <c r="L24" i="2"/>
  <c r="AP15" i="2"/>
  <c r="H23" i="2"/>
  <c r="U22" i="2"/>
  <c r="AY13" i="2"/>
  <c r="Q21" i="2"/>
  <c r="AU12" i="2"/>
  <c r="J16" i="2"/>
  <c r="L14" i="2"/>
  <c r="T13" i="2"/>
  <c r="AA12" i="2"/>
  <c r="AI11" i="2"/>
  <c r="K11" i="2"/>
  <c r="AA15" i="2"/>
  <c r="W12" i="2"/>
  <c r="H20" i="2"/>
  <c r="R15" i="2"/>
  <c r="AJ13" i="2"/>
  <c r="L13" i="2"/>
  <c r="T12" i="2"/>
  <c r="AA11" i="2"/>
  <c r="G9" i="2"/>
  <c r="P13" i="2"/>
  <c r="AY44" i="2"/>
  <c r="AG42" i="2"/>
  <c r="U40" i="2"/>
  <c r="AS41" i="2"/>
  <c r="AB41" i="2"/>
  <c r="AE42" i="2"/>
  <c r="Q40" i="2"/>
  <c r="AQ41" i="2"/>
  <c r="Z41" i="2"/>
  <c r="AX35" i="2"/>
  <c r="Q41" i="2"/>
  <c r="AR34" i="2"/>
  <c r="AY32" i="2"/>
  <c r="AV31" i="2"/>
  <c r="W37" i="2"/>
  <c r="U34" i="2"/>
  <c r="AI31" i="2"/>
  <c r="AU24" i="2"/>
  <c r="AK22" i="2"/>
  <c r="AB20" i="2"/>
  <c r="AC33" i="2"/>
  <c r="Y31" i="2"/>
  <c r="K30" i="2"/>
  <c r="W24" i="2"/>
  <c r="AX22" i="2"/>
  <c r="AS21" i="2"/>
  <c r="AO20" i="2"/>
  <c r="S35" i="2"/>
  <c r="O34" i="2"/>
  <c r="AK32" i="2"/>
  <c r="AG31" i="2"/>
  <c r="AB30" i="2"/>
  <c r="AN24" i="2"/>
  <c r="AI23" i="2"/>
  <c r="AE22" i="2"/>
  <c r="Z21" i="2"/>
  <c r="AJ35" i="2"/>
  <c r="R31" i="2"/>
  <c r="AV21" i="2"/>
  <c r="G25" i="2"/>
  <c r="AX15" i="2"/>
  <c r="AS14" i="2"/>
  <c r="AO13" i="2"/>
  <c r="T20" i="2"/>
  <c r="AO11" i="2"/>
  <c r="R16" i="2"/>
  <c r="Z15" i="2"/>
  <c r="AI14" i="2"/>
  <c r="M35" i="2"/>
  <c r="R32" i="2"/>
  <c r="AM24" i="2"/>
  <c r="Y21" i="2"/>
  <c r="O25" i="2"/>
  <c r="AN16" i="2"/>
  <c r="AR15" i="2"/>
  <c r="BA14" i="2"/>
  <c r="O22" i="2"/>
  <c r="S21" i="2"/>
  <c r="AR12" i="2"/>
  <c r="BA11" i="2"/>
  <c r="Z16" i="2"/>
  <c r="AH15" i="2"/>
  <c r="K15" i="2"/>
  <c r="I35" i="2"/>
  <c r="M32" i="2"/>
  <c r="AZ24" i="2"/>
  <c r="AM21" i="2"/>
  <c r="R25" i="2"/>
  <c r="AQ16" i="2"/>
  <c r="AV15" i="2"/>
  <c r="I23" i="2"/>
  <c r="R22" i="2"/>
  <c r="AM13" i="2"/>
  <c r="AV12" i="2"/>
  <c r="I20" i="2"/>
  <c r="AH16" i="2"/>
  <c r="K16" i="2"/>
  <c r="S15" i="2"/>
  <c r="X14" i="2"/>
  <c r="AG13" i="2"/>
  <c r="J13" i="2"/>
  <c r="O12" i="2"/>
  <c r="X11" i="2"/>
  <c r="W35" i="2"/>
  <c r="I32" i="2"/>
  <c r="AC24" i="2"/>
  <c r="AH21" i="2"/>
  <c r="L25" i="2"/>
  <c r="U24" i="2"/>
  <c r="AU15" i="2"/>
  <c r="AY14" i="2"/>
  <c r="L22" i="2"/>
  <c r="U21" i="2"/>
  <c r="L20" i="2"/>
  <c r="AJ14" i="2"/>
  <c r="Z13" i="2"/>
  <c r="U12" i="2"/>
  <c r="W11" i="2"/>
  <c r="AU11" i="2"/>
  <c r="AJ11" i="2"/>
  <c r="X16" i="2"/>
  <c r="K14" i="2"/>
  <c r="G13" i="2"/>
  <c r="H12" i="2"/>
  <c r="I11" i="2"/>
  <c r="AC12" i="2"/>
  <c r="AK16" i="2"/>
  <c r="AA14" i="2"/>
  <c r="AC13" i="2"/>
  <c r="AJ12" i="2"/>
  <c r="L12" i="2"/>
  <c r="M11" i="2"/>
  <c r="H14" i="2"/>
  <c r="AE11" i="2"/>
  <c r="AU44" i="2"/>
  <c r="AJ41" i="2"/>
  <c r="O40" i="2"/>
  <c r="AO41" i="2"/>
  <c r="W42" i="2"/>
  <c r="AK40" i="2"/>
  <c r="T39" i="2"/>
  <c r="AM41" i="2"/>
  <c r="AA40" i="2"/>
  <c r="S43" i="2"/>
  <c r="H44" i="2"/>
  <c r="AQ33" i="2"/>
  <c r="AU32" i="2"/>
  <c r="AU30" i="2"/>
  <c r="AU37" i="2"/>
  <c r="Q34" i="2"/>
  <c r="AE31" i="2"/>
  <c r="AP24" i="2"/>
  <c r="AG22" i="2"/>
  <c r="I16" i="2"/>
  <c r="Y33" i="2"/>
  <c r="T31" i="2"/>
  <c r="G28" i="2"/>
  <c r="AX23" i="2"/>
  <c r="AS22" i="2"/>
  <c r="AO21" i="2"/>
  <c r="AJ20" i="2"/>
  <c r="O35" i="2"/>
  <c r="J34" i="2"/>
  <c r="AG32" i="2"/>
  <c r="AB31" i="2"/>
  <c r="X30" i="2"/>
  <c r="AI24" i="2"/>
  <c r="AE23" i="2"/>
  <c r="Z22" i="2"/>
  <c r="BA20" i="2"/>
  <c r="R35" i="2"/>
  <c r="AF30" i="2"/>
  <c r="AC21" i="2"/>
  <c r="AX16" i="2"/>
  <c r="AS15" i="2"/>
  <c r="AO14" i="2"/>
  <c r="T21" i="2"/>
  <c r="P20" i="2"/>
  <c r="AJ16" i="2"/>
  <c r="M16" i="2"/>
  <c r="U15" i="2"/>
  <c r="Z14" i="2"/>
  <c r="AA34" i="2"/>
  <c r="AF31" i="2"/>
  <c r="AH23" i="2"/>
  <c r="AM20" i="2"/>
  <c r="J25" i="2"/>
  <c r="O24" i="2"/>
  <c r="AN15" i="2"/>
  <c r="AW14" i="2"/>
  <c r="AR43" i="2"/>
  <c r="M40" i="2"/>
  <c r="AQ40" i="2"/>
  <c r="K40" i="2"/>
  <c r="K43" i="2"/>
  <c r="AX34" i="2"/>
  <c r="AS32" i="2"/>
  <c r="H11" i="2"/>
  <c r="AE30" i="2"/>
  <c r="AG21" i="2"/>
  <c r="Y32" i="2"/>
  <c r="AO24" i="2"/>
  <c r="AF22" i="2"/>
  <c r="AK35" i="2"/>
  <c r="AB33" i="2"/>
  <c r="O31" i="2"/>
  <c r="BA23" i="2"/>
  <c r="AR21" i="2"/>
  <c r="AA33" i="2"/>
  <c r="AM18" i="2"/>
  <c r="P23" i="2"/>
  <c r="G21" i="2"/>
  <c r="AF16" i="2"/>
  <c r="L15" i="2"/>
  <c r="I34" i="2"/>
  <c r="AV22" i="2"/>
  <c r="AW16" i="2"/>
  <c r="S23" i="2"/>
  <c r="BA13" i="2"/>
  <c r="J21" i="2"/>
  <c r="J20" i="2"/>
  <c r="U16" i="2"/>
  <c r="T15" i="2"/>
  <c r="Y14" i="2"/>
  <c r="AA31" i="2"/>
  <c r="AC23" i="2"/>
  <c r="W18" i="2"/>
  <c r="R24" i="2"/>
  <c r="AM15" i="2"/>
  <c r="AM14" i="2"/>
  <c r="R21" i="2"/>
  <c r="R20" i="2"/>
  <c r="AM11" i="2"/>
  <c r="AK15" i="2"/>
  <c r="AK14" i="2"/>
  <c r="AK13" i="2"/>
  <c r="AG12" i="2"/>
  <c r="AK11" i="2"/>
  <c r="W9" i="2"/>
  <c r="W31" i="2"/>
  <c r="AM22" i="2"/>
  <c r="U25" i="2"/>
  <c r="Q24" i="2"/>
  <c r="Q23" i="2"/>
  <c r="Q22" i="2"/>
  <c r="L21" i="2"/>
  <c r="AB16" i="2"/>
  <c r="AF13" i="2"/>
  <c r="P12" i="2"/>
  <c r="O9" i="2"/>
  <c r="I13" i="2"/>
  <c r="AJ15" i="2"/>
  <c r="Y13" i="2"/>
  <c r="M12" i="2"/>
  <c r="AG16" i="2"/>
  <c r="L11" i="2"/>
  <c r="M15" i="2"/>
  <c r="W13" i="2"/>
  <c r="Y12" i="2"/>
  <c r="T11" i="2"/>
  <c r="U13" i="2"/>
  <c r="I12" i="2"/>
  <c r="R11" i="2"/>
  <c r="R13" i="2"/>
  <c r="I15" i="2"/>
  <c r="U20" i="2"/>
  <c r="Q13" i="2"/>
  <c r="Q20" i="2"/>
  <c r="W41" i="2"/>
  <c r="AO33" i="2"/>
  <c r="AP23" i="2"/>
  <c r="AH30" i="2"/>
  <c r="AA21" i="2"/>
  <c r="S32" i="2"/>
  <c r="AW22" i="2"/>
  <c r="Y24" i="2"/>
  <c r="K22" i="2"/>
  <c r="H16" i="2"/>
  <c r="AA30" i="2"/>
  <c r="J24" i="2"/>
  <c r="AR13" i="2"/>
  <c r="AN11" i="2"/>
  <c r="AH14" i="2"/>
  <c r="W28" i="2"/>
  <c r="AZ16" i="2"/>
  <c r="AZ14" i="2"/>
  <c r="AZ12" i="2"/>
  <c r="Y16" i="2"/>
  <c r="S13" i="2"/>
  <c r="S11" i="2"/>
  <c r="AF33" i="2"/>
  <c r="AC20" i="2"/>
  <c r="AU14" i="2"/>
  <c r="AY12" i="2"/>
  <c r="H13" i="2"/>
  <c r="M14" i="2"/>
  <c r="AF12" i="2"/>
  <c r="AH13" i="2"/>
  <c r="I14" i="2"/>
  <c r="G12" i="2"/>
  <c r="Q12" i="2"/>
  <c r="Z40" i="2"/>
  <c r="AM31" i="2"/>
  <c r="AI32" i="2"/>
  <c r="AC34" i="2"/>
  <c r="AF23" i="2"/>
  <c r="AB34" i="2"/>
  <c r="BA24" i="2"/>
  <c r="AI20" i="2"/>
  <c r="P24" i="2"/>
  <c r="AS11" i="2"/>
  <c r="Q14" i="2"/>
  <c r="S25" i="2"/>
  <c r="S22" i="2"/>
  <c r="O20" i="2"/>
  <c r="AC15" i="2"/>
  <c r="AF32" i="2"/>
  <c r="AV16" i="2"/>
  <c r="AQ14" i="2"/>
  <c r="AQ12" i="2"/>
  <c r="P16" i="2"/>
  <c r="J15" i="2"/>
  <c r="O13" i="2"/>
  <c r="J11" i="2"/>
  <c r="AU18" i="2"/>
  <c r="AP16" i="2"/>
  <c r="AP14" i="2"/>
  <c r="AP11" i="2"/>
  <c r="Q11" i="2"/>
  <c r="O18" i="2"/>
  <c r="Z12" i="2"/>
  <c r="K12" i="2"/>
  <c r="AI13" i="2"/>
  <c r="AF11" i="2"/>
  <c r="AE9" i="2"/>
  <c r="AP41" i="2"/>
  <c r="I40" i="2"/>
  <c r="AM40" i="2"/>
  <c r="J39" i="2"/>
  <c r="J42" i="2"/>
  <c r="BA33" i="2"/>
  <c r="AR31" i="2"/>
  <c r="AI35" i="2"/>
  <c r="Z30" i="2"/>
  <c r="AB21" i="2"/>
  <c r="T32" i="2"/>
  <c r="AJ24" i="2"/>
  <c r="AA22" i="2"/>
  <c r="AG35" i="2"/>
  <c r="X33" i="2"/>
  <c r="J31" i="2"/>
  <c r="AW23" i="2"/>
  <c r="AN21" i="2"/>
  <c r="I33" i="2"/>
  <c r="T25" i="2"/>
  <c r="K23" i="2"/>
  <c r="AX12" i="2"/>
  <c r="AA16" i="2"/>
  <c r="H15" i="2"/>
  <c r="AJ32" i="2"/>
  <c r="AC22" i="2"/>
  <c r="AR16" i="2"/>
  <c r="J23" i="2"/>
  <c r="AW13" i="2"/>
  <c r="AW12" i="2"/>
  <c r="AR11" i="2"/>
  <c r="Q16" i="2"/>
  <c r="P15" i="2"/>
  <c r="W34" i="2"/>
  <c r="W30" i="2"/>
  <c r="AQ22" i="2"/>
  <c r="M25" i="2"/>
  <c r="M24" i="2"/>
  <c r="M23" i="2"/>
  <c r="I22" i="2"/>
  <c r="M21" i="2"/>
  <c r="M20" i="2"/>
  <c r="AC16" i="2"/>
  <c r="AB15" i="2"/>
  <c r="AG14" i="2"/>
  <c r="AB13" i="2"/>
  <c r="AB12" i="2"/>
  <c r="AB11" i="2"/>
  <c r="R34" i="2"/>
  <c r="AJ30" i="2"/>
  <c r="AZ21" i="2"/>
  <c r="H25" i="2"/>
  <c r="H24" i="2"/>
  <c r="L23" i="2"/>
  <c r="H22" i="2"/>
  <c r="H21" i="2"/>
  <c r="W15" i="2"/>
  <c r="M13" i="2"/>
  <c r="G11" i="2"/>
  <c r="AF14" i="2"/>
  <c r="AH11" i="2"/>
  <c r="P14" i="2"/>
  <c r="R12" i="2"/>
  <c r="AI12" i="2"/>
  <c r="AH43" i="2"/>
  <c r="AB40" i="2"/>
  <c r="AH42" i="2"/>
  <c r="R40" i="2"/>
  <c r="AZ30" i="2"/>
  <c r="H33" i="2"/>
  <c r="AH34" i="2"/>
  <c r="AJ23" i="2"/>
  <c r="AG34" i="2"/>
  <c r="AE28" i="2"/>
  <c r="AN20" i="2"/>
  <c r="T24" i="2"/>
  <c r="AX11" i="2"/>
  <c r="U14" i="2"/>
  <c r="X20" i="2"/>
  <c r="AN14" i="2"/>
  <c r="AN12" i="2"/>
  <c r="G16" i="2"/>
  <c r="AJ33" i="2"/>
  <c r="AZ20" i="2"/>
  <c r="I24" i="2"/>
  <c r="AZ13" i="2"/>
  <c r="AV11" i="2"/>
  <c r="X15" i="2"/>
  <c r="S14" i="2"/>
  <c r="X12" i="2"/>
  <c r="AV24" i="2"/>
  <c r="AY16" i="2"/>
  <c r="AY15" i="2"/>
  <c r="AU13" i="2"/>
  <c r="T14" i="2"/>
  <c r="AC11" i="2"/>
  <c r="AP12" i="2"/>
  <c r="R14" i="2"/>
  <c r="U11" i="2"/>
  <c r="S16" i="2"/>
  <c r="K13" i="2"/>
  <c r="O16" i="2"/>
  <c r="AF42" i="2"/>
  <c r="X40" i="2"/>
  <c r="AK41" i="2"/>
  <c r="J44" i="2"/>
  <c r="AQ35" i="2"/>
  <c r="AK23" i="2"/>
  <c r="AC30" i="2"/>
  <c r="W21" i="2"/>
  <c r="O32" i="2"/>
  <c r="AR22" i="2"/>
  <c r="AM23" i="2"/>
  <c r="G22" i="2"/>
  <c r="AE15" i="2"/>
  <c r="I30" i="2"/>
  <c r="BA15" i="2"/>
  <c r="O21" i="2"/>
  <c r="AI16" i="2"/>
  <c r="AC14" i="2"/>
  <c r="AV23" i="2"/>
  <c r="AH20" i="2"/>
  <c r="AQ15" i="2"/>
  <c r="AV13" i="2"/>
  <c r="AQ11" i="2"/>
  <c r="O14" i="2"/>
  <c r="J12" i="2"/>
  <c r="M33" i="2"/>
  <c r="AQ23" i="2"/>
  <c r="U23" i="2"/>
  <c r="AP13" i="2"/>
  <c r="G14" i="2"/>
  <c r="AH12" i="2"/>
  <c r="AA13" i="2"/>
  <c r="AE13" i="2"/>
  <c r="P11" i="2"/>
  <c r="AF15" i="2"/>
  <c r="AE12" i="2"/>
  <c r="W14" i="2"/>
  <c r="D16" i="6" l="1"/>
  <c r="E22" i="6"/>
  <c r="F16" i="6"/>
  <c r="G11" i="6" s="1"/>
  <c r="E23" i="6"/>
  <c r="C30" i="2"/>
  <c r="F23" i="6" l="1"/>
  <c r="E24" i="6" s="1"/>
  <c r="F24" i="6" s="1"/>
  <c r="E25" i="6" s="1"/>
  <c r="F25" i="6" s="1"/>
  <c r="E26" i="6" s="1"/>
  <c r="F26" i="6" s="1"/>
  <c r="D22" i="6" s="1"/>
  <c r="F22" i="6" s="1"/>
  <c r="E29" i="6" l="1"/>
  <c r="F29" i="6" s="1"/>
  <c r="E30" i="6" s="1"/>
  <c r="F30" i="6" s="1"/>
  <c r="E31" i="6" s="1"/>
  <c r="F31" i="6" s="1"/>
  <c r="D28" i="6" s="1"/>
  <c r="F28" i="6" s="1"/>
  <c r="E28"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Timeline!$B$5:$E$23" type="102" refreshedVersion="6" minRefreshableVersion="5">
    <extLst>
      <ext xmlns:x15="http://schemas.microsoft.com/office/spreadsheetml/2010/11/main" uri="{DE250136-89BD-433C-8126-D09CA5730AF9}">
        <x15:connection id="Range">
          <x15:rangePr sourceName="_xlcn.WorksheetConnection_TimelineB5E231"/>
        </x15:connection>
      </ext>
    </extLst>
  </connection>
</connections>
</file>

<file path=xl/sharedStrings.xml><?xml version="1.0" encoding="utf-8"?>
<sst xmlns="http://schemas.openxmlformats.org/spreadsheetml/2006/main" count="259" uniqueCount="87">
  <si>
    <t>Topic</t>
  </si>
  <si>
    <t>Research</t>
  </si>
  <si>
    <t>Risk</t>
  </si>
  <si>
    <t>Stakeholder</t>
  </si>
  <si>
    <t>Strategic Planning</t>
  </si>
  <si>
    <t>Bid Writing</t>
  </si>
  <si>
    <t>Question and Answer Period</t>
  </si>
  <si>
    <t>Bid Posting</t>
  </si>
  <si>
    <t>Pre-Bid Conference</t>
  </si>
  <si>
    <t>Bid Due Date</t>
  </si>
  <si>
    <t>Evaluation</t>
  </si>
  <si>
    <t>ASB Announced</t>
  </si>
  <si>
    <t>Request Debrief Period</t>
  </si>
  <si>
    <t>Debrief Scheduling</t>
  </si>
  <si>
    <t>Protest Period</t>
  </si>
  <si>
    <t>Protest Response</t>
  </si>
  <si>
    <t>Contract Completion</t>
  </si>
  <si>
    <t>Scheduled</t>
  </si>
  <si>
    <t>Begin Research</t>
  </si>
  <si>
    <t>Complete Research</t>
  </si>
  <si>
    <t>Determine Risk Level</t>
  </si>
  <si>
    <t>Develop Stakeholder Group</t>
  </si>
  <si>
    <t>Prebid Conference Date</t>
  </si>
  <si>
    <t>Protest Period Ends</t>
  </si>
  <si>
    <t>Possible Protest Response</t>
  </si>
  <si>
    <t>Contract Award Date</t>
  </si>
  <si>
    <t>Contraction Completion Date</t>
  </si>
  <si>
    <t>QA Period End</t>
  </si>
  <si>
    <t>Year</t>
  </si>
  <si>
    <t>Martin Luther King Jr.'s Birthday</t>
  </si>
  <si>
    <t>Presidents' Day</t>
  </si>
  <si>
    <t>Memorial Day</t>
  </si>
  <si>
    <t>Independence Day</t>
  </si>
  <si>
    <t>Labor day</t>
  </si>
  <si>
    <t>Veteran's Day</t>
  </si>
  <si>
    <t>Thanksgiving Day</t>
  </si>
  <si>
    <t>Christmas Day</t>
  </si>
  <si>
    <t>New Years Day</t>
  </si>
  <si>
    <t>Business Days to Complete</t>
  </si>
  <si>
    <t>Request Debrief Period Ends</t>
  </si>
  <si>
    <t>Native American Heritage Day</t>
  </si>
  <si>
    <t>Update before 2050</t>
  </si>
  <si>
    <t>Total Number of Business Days Required to Complete</t>
  </si>
  <si>
    <t>S</t>
  </si>
  <si>
    <t>M</t>
  </si>
  <si>
    <t>T</t>
  </si>
  <si>
    <t>W</t>
  </si>
  <si>
    <t>F</t>
  </si>
  <si>
    <t>Bid Posting Length in Business Days</t>
  </si>
  <si>
    <t>End of Current Contract:</t>
  </si>
  <si>
    <t>Current Progress</t>
  </si>
  <si>
    <t>Solicitation Calculator Guide</t>
  </si>
  <si>
    <r>
      <t xml:space="preserve">Purpose: The solicitation calculator is to provide a tool for Contract Specialists to run different scheduling scenarios to easily see the impact a change may have on the schedule.   Adjustments can be made to any highlighted cell in order to customize to your solicitation.  Any changes made in these cells will automatically adjust the schedule.  Business days </t>
    </r>
    <r>
      <rPr>
        <u/>
        <sz val="11"/>
        <color theme="1"/>
        <rFont val="Calibri"/>
        <family val="2"/>
        <scheme val="minor"/>
      </rPr>
      <t>does not</t>
    </r>
    <r>
      <rPr>
        <sz val="11"/>
        <color theme="1"/>
        <rFont val="Calibri"/>
        <family val="2"/>
        <scheme val="minor"/>
      </rPr>
      <t xml:space="preserve"> include weekends or observed holidays.  Total calendar days automatically calculates the number of days from the date the solicitation is posted to the date proposals are dues.  PCMS scheduler expects calendar days to be entered.</t>
    </r>
  </si>
  <si>
    <t>Instructions</t>
  </si>
  <si>
    <r>
      <t>1.</t>
    </r>
    <r>
      <rPr>
        <b/>
        <sz val="7"/>
        <color theme="1"/>
        <rFont val="Calibri"/>
        <family val="2"/>
        <scheme val="minor"/>
      </rPr>
      <t xml:space="preserve">     </t>
    </r>
    <r>
      <rPr>
        <sz val="11"/>
        <color theme="1"/>
        <rFont val="Calibri"/>
        <family val="2"/>
        <scheme val="minor"/>
      </rPr>
      <t xml:space="preserve">Enter the date the solicitation is to be posted (i.e. 3/30/2021). </t>
    </r>
  </si>
  <si>
    <r>
      <t>2.</t>
    </r>
    <r>
      <rPr>
        <b/>
        <sz val="7"/>
        <color theme="1"/>
        <rFont val="Calibri"/>
        <family val="2"/>
        <scheme val="minor"/>
      </rPr>
      <t xml:space="preserve">     </t>
    </r>
    <r>
      <rPr>
        <sz val="11"/>
        <color theme="1"/>
        <rFont val="Calibri"/>
        <family val="2"/>
        <scheme val="minor"/>
      </rPr>
      <t>Enter the number of business days the solicitation is to be posted in WEBS (30 business days is equivalent to 6 weeks).  At this point, calendar days will automatically calculate based on posting date
       and proposal due date.</t>
    </r>
  </si>
  <si>
    <r>
      <t>3.</t>
    </r>
    <r>
      <rPr>
        <b/>
        <sz val="7"/>
        <color theme="1"/>
        <rFont val="Calibri"/>
        <family val="2"/>
        <scheme val="minor"/>
      </rPr>
      <t xml:space="preserve">     </t>
    </r>
    <r>
      <rPr>
        <sz val="11"/>
        <color theme="1"/>
        <rFont val="Calibri"/>
        <family val="2"/>
        <scheme val="minor"/>
      </rPr>
      <t xml:space="preserve">Adjust the number of days in the "Evaluation" and/or "ASB/Award" sections that align with your solicitation.  Note: if you don't want to use a step, you can enter a "0" for number of business days. </t>
    </r>
  </si>
  <si>
    <t>Solicitation No.:</t>
  </si>
  <si>
    <t>Procurement Coordinator:</t>
  </si>
  <si>
    <t>Posting Date:</t>
  </si>
  <si>
    <t xml:space="preserve">Total Calendar Days (PCMS): </t>
  </si>
  <si>
    <t>Procurement Steps</t>
  </si>
  <si>
    <t>Bus. Days</t>
  </si>
  <si>
    <t>Start Date</t>
  </si>
  <si>
    <t>End Date</t>
  </si>
  <si>
    <t>Solicitation</t>
  </si>
  <si>
    <t>Post Solicitation</t>
  </si>
  <si>
    <t>Pre-bid Conference</t>
  </si>
  <si>
    <t>Q&amp;A Period</t>
  </si>
  <si>
    <t>Proposals Due</t>
  </si>
  <si>
    <t>Responsiveness Check</t>
  </si>
  <si>
    <t>Evaluation by Program/Sourcing Team</t>
  </si>
  <si>
    <t>Oral Presentations/Demonstrations</t>
  </si>
  <si>
    <t>Finalize Top Bidder(s)/Negotiations</t>
  </si>
  <si>
    <t>ASB/Award</t>
  </si>
  <si>
    <t>Anticipated ASB</t>
  </si>
  <si>
    <t>Debrief/Protest Period</t>
  </si>
  <si>
    <t>Anticipated Award</t>
  </si>
  <si>
    <t>PCMS Solicitation Timeline</t>
  </si>
  <si>
    <t>View</t>
  </si>
  <si>
    <t>Full</t>
  </si>
  <si>
    <t>The timeline allow one full year for a contract to be completed.</t>
  </si>
  <si>
    <t>Purpose: The PCMS Solicitation Timeline provides you with a visual representation of when each of the PCMS Project Schedule steps should be completed. It also can act as a tool for figuring out the scheduled project dates for contracts that do not have a previous contract number so that PCMS can pull schedule dates based on the old contract.</t>
  </si>
  <si>
    <t>Juneteenth</t>
  </si>
  <si>
    <t>2.   The timeline has two views. To edit the view use the drop-down in cell C10 to select either the "Full View" or "Current Progress" view. The "Full View" shows all dates while the "Current Progress" view crosses out days that have passed. This view can give you an idea of how far along the process you should be.</t>
  </si>
  <si>
    <t>1.   Enter the end of your current contract in cell C9. If your contract is not a rebid, but entirely new just enter the date that you need to have the final contract in place. The timeline will adjust dates according to the date entered.
Enter your date as MM/DD/YYYY. For example entering 01/01/2022 will bring up Saturday, January 1, 2022</t>
  </si>
  <si>
    <t>Alec La Brayere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</si>
</sst>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numFmt numFmtId="165" formatCode="d"/>
    <numFmt numFmtId="166" formatCode="[$-F800]dddd\,\ mmmm\ dd\,\ yyyy"/>
    <numFmt numFmtId="167" formatCode="mm/dd/yyyy"/>
  </numFmts>
  <fonts count="16" x14ac:knownFonts="1">
    <font>
      <sz val="11"/>
      <color theme="1"/>
      <name val="Calibri"/>
      <family val="2"/>
      <scheme val="minor"/>
    </font>
    <font>
      <sz val="10"/>
      <color theme="1"/>
      <name val="Calibri"/>
      <family val="2"/>
      <scheme val="minor"/>
    </font>
    <font>
      <b/>
      <sz val="10"/>
      <color theme="1"/>
      <name val="Calibri"/>
      <family val="2"/>
      <scheme val="minor"/>
    </font>
    <font>
      <b/>
      <sz val="11.5"/>
      <color theme="1"/>
      <name val="Calibri Light"/>
      <family val="2"/>
      <scheme val="major"/>
    </font>
    <font>
      <b/>
      <sz val="12"/>
      <color theme="1"/>
      <name val="Calibri Light"/>
      <family val="2"/>
      <scheme val="major"/>
    </font>
    <font>
      <b/>
      <sz val="11.5"/>
      <color theme="0" tint="-0.249977111117893"/>
      <name val="Calibri"/>
      <family val="2"/>
      <scheme val="minor"/>
    </font>
    <font>
      <b/>
      <sz val="9"/>
      <color theme="1"/>
      <name val="Calibri"/>
      <family val="2"/>
      <scheme val="minor"/>
    </font>
    <font>
      <b/>
      <sz val="14"/>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4"/>
      <color theme="1"/>
      <name val="Calibri"/>
      <family val="2"/>
      <scheme val="minor"/>
    </font>
    <font>
      <u/>
      <sz val="11"/>
      <color theme="1"/>
      <name val="Calibri"/>
      <family val="2"/>
      <scheme val="minor"/>
    </font>
    <font>
      <b/>
      <sz val="12"/>
      <color theme="1"/>
      <name val="Calibri"/>
      <family val="2"/>
      <scheme val="minor"/>
    </font>
    <font>
      <b/>
      <sz val="7"/>
      <color theme="1"/>
      <name val="Calibri"/>
      <family val="2"/>
      <scheme val="minor"/>
    </font>
    <font>
      <b/>
      <u/>
      <sz val="14"/>
      <color theme="1"/>
      <name val="Calibri"/>
      <family val="2"/>
      <scheme val="minor"/>
    </font>
  </fonts>
  <fills count="11">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rgb="FFFFFF00"/>
        <bgColor indexed="64"/>
      </patternFill>
    </fill>
    <fill>
      <patternFill patternType="solid">
        <fgColor theme="8" tint="-0.249977111117893"/>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indexed="64"/>
      </left>
      <right/>
      <top style="thin">
        <color theme="0" tint="-4.9989318521683403E-2"/>
      </top>
      <bottom style="medium">
        <color indexed="64"/>
      </bottom>
      <diagonal/>
    </border>
    <border>
      <left/>
      <right/>
      <top style="thin">
        <color theme="0" tint="-4.9989318521683403E-2"/>
      </top>
      <bottom style="medium">
        <color indexed="64"/>
      </bottom>
      <diagonal/>
    </border>
  </borders>
  <cellStyleXfs count="2">
    <xf numFmtId="0" fontId="0" fillId="0" borderId="0"/>
    <xf numFmtId="0" fontId="1" fillId="0" borderId="0"/>
  </cellStyleXfs>
  <cellXfs count="112">
    <xf numFmtId="0" fontId="0" fillId="0" borderId="0" xfId="0"/>
    <xf numFmtId="14" fontId="0" fillId="0" borderId="0" xfId="0" applyNumberFormat="1"/>
    <xf numFmtId="0" fontId="0" fillId="0" borderId="0" xfId="0" applyAlignment="1"/>
    <xf numFmtId="0" fontId="2" fillId="0" borderId="0" xfId="1" applyFont="1" applyFill="1" applyBorder="1"/>
    <xf numFmtId="0" fontId="2" fillId="0" borderId="0" xfId="1" applyFont="1" applyBorder="1"/>
    <xf numFmtId="0" fontId="4" fillId="0" borderId="0" xfId="1" applyFont="1" applyFill="1" applyBorder="1" applyAlignment="1"/>
    <xf numFmtId="165" fontId="2" fillId="0" borderId="0" xfId="1" applyNumberFormat="1" applyFont="1" applyFill="1" applyBorder="1"/>
    <xf numFmtId="0" fontId="2" fillId="0" borderId="0" xfId="1" applyFont="1" applyFill="1" applyBorder="1" applyAlignment="1">
      <alignment horizontal="center"/>
    </xf>
    <xf numFmtId="165" fontId="2" fillId="0" borderId="0" xfId="1" applyNumberFormat="1" applyFont="1" applyFill="1" applyBorder="1" applyAlignment="1">
      <alignment horizontal="center"/>
    </xf>
    <xf numFmtId="0" fontId="0" fillId="0" borderId="0" xfId="0" applyNumberFormat="1"/>
    <xf numFmtId="165" fontId="2" fillId="0" borderId="1" xfId="1" applyNumberFormat="1" applyFont="1" applyFill="1" applyBorder="1" applyAlignment="1">
      <alignment horizontal="center"/>
    </xf>
    <xf numFmtId="0" fontId="2" fillId="0" borderId="1" xfId="1" applyFont="1" applyBorder="1"/>
    <xf numFmtId="0" fontId="0" fillId="0" borderId="1" xfId="0" applyBorder="1"/>
    <xf numFmtId="0" fontId="0" fillId="0" borderId="2" xfId="0" applyFill="1" applyBorder="1"/>
    <xf numFmtId="14" fontId="0" fillId="2" borderId="2" xfId="0" applyNumberFormat="1" applyFill="1" applyBorder="1"/>
    <xf numFmtId="14" fontId="0" fillId="4" borderId="2" xfId="0" applyNumberFormat="1" applyFill="1" applyBorder="1"/>
    <xf numFmtId="14" fontId="0" fillId="3" borderId="2" xfId="0" applyNumberFormat="1" applyFill="1" applyBorder="1"/>
    <xf numFmtId="14" fontId="0" fillId="5" borderId="2" xfId="0" applyNumberFormat="1" applyFill="1" applyBorder="1"/>
    <xf numFmtId="0" fontId="0" fillId="0" borderId="2" xfId="0" applyBorder="1"/>
    <xf numFmtId="14" fontId="0" fillId="6" borderId="2" xfId="0" applyNumberFormat="1" applyFill="1" applyBorder="1"/>
    <xf numFmtId="0" fontId="0" fillId="0" borderId="0" xfId="0" applyBorder="1"/>
    <xf numFmtId="165" fontId="2" fillId="0" borderId="5" xfId="1" applyNumberFormat="1" applyFont="1" applyFill="1" applyBorder="1" applyAlignment="1">
      <alignment horizontal="center"/>
    </xf>
    <xf numFmtId="165" fontId="2" fillId="0" borderId="6" xfId="1" applyNumberFormat="1" applyFont="1" applyFill="1" applyBorder="1" applyAlignment="1">
      <alignment horizontal="center"/>
    </xf>
    <xf numFmtId="0" fontId="0" fillId="0" borderId="5" xfId="0" applyBorder="1"/>
    <xf numFmtId="0" fontId="2" fillId="0" borderId="6" xfId="1" applyFont="1" applyBorder="1"/>
    <xf numFmtId="165" fontId="2" fillId="0" borderId="7" xfId="1" applyNumberFormat="1" applyFont="1" applyFill="1" applyBorder="1" applyAlignment="1">
      <alignment horizontal="center"/>
    </xf>
    <xf numFmtId="165" fontId="2" fillId="0" borderId="8" xfId="1" applyNumberFormat="1" applyFont="1" applyFill="1" applyBorder="1" applyAlignment="1">
      <alignment horizontal="center"/>
    </xf>
    <xf numFmtId="0" fontId="2" fillId="0" borderId="8" xfId="1" applyFont="1" applyBorder="1"/>
    <xf numFmtId="0" fontId="0" fillId="0" borderId="8" xfId="0" applyBorder="1"/>
    <xf numFmtId="165" fontId="2" fillId="0" borderId="9" xfId="1" applyNumberFormat="1" applyFont="1" applyFill="1" applyBorder="1" applyAlignment="1">
      <alignment horizontal="center"/>
    </xf>
    <xf numFmtId="165" fontId="2" fillId="0" borderId="2" xfId="1" applyNumberFormat="1" applyFont="1" applyFill="1" applyBorder="1" applyAlignment="1">
      <alignment horizontal="center"/>
    </xf>
    <xf numFmtId="165" fontId="2" fillId="0" borderId="10" xfId="1" applyNumberFormat="1" applyFont="1" applyFill="1" applyBorder="1" applyAlignment="1">
      <alignment horizontal="center"/>
    </xf>
    <xf numFmtId="0" fontId="5" fillId="0" borderId="11" xfId="1" applyFont="1" applyFill="1" applyBorder="1" applyAlignment="1">
      <alignment horizontal="center"/>
    </xf>
    <xf numFmtId="0" fontId="5" fillId="0" borderId="12" xfId="1" applyFont="1" applyFill="1" applyBorder="1" applyAlignment="1">
      <alignment horizontal="center"/>
    </xf>
    <xf numFmtId="165" fontId="2" fillId="0" borderId="13" xfId="1" applyNumberFormat="1" applyFont="1" applyFill="1" applyBorder="1" applyAlignment="1">
      <alignment horizontal="center"/>
    </xf>
    <xf numFmtId="0" fontId="5" fillId="0" borderId="14" xfId="1" applyFont="1" applyFill="1" applyBorder="1" applyAlignment="1">
      <alignment horizontal="center"/>
    </xf>
    <xf numFmtId="0" fontId="2" fillId="0" borderId="15" xfId="1" applyFont="1" applyBorder="1"/>
    <xf numFmtId="0" fontId="0" fillId="0" borderId="15" xfId="0" applyBorder="1"/>
    <xf numFmtId="0" fontId="6" fillId="0" borderId="15" xfId="1" applyFont="1" applyBorder="1"/>
    <xf numFmtId="0" fontId="2" fillId="0" borderId="1" xfId="1" applyFont="1" applyFill="1" applyBorder="1" applyAlignment="1">
      <alignment horizontal="center"/>
    </xf>
    <xf numFmtId="0" fontId="4" fillId="0" borderId="1" xfId="1" applyFont="1" applyFill="1" applyBorder="1" applyAlignment="1"/>
    <xf numFmtId="0" fontId="0" fillId="0" borderId="21" xfId="0" applyBorder="1"/>
    <xf numFmtId="0" fontId="0" fillId="0" borderId="23" xfId="0" applyBorder="1"/>
    <xf numFmtId="1" fontId="0" fillId="0" borderId="0" xfId="0" applyNumberFormat="1"/>
    <xf numFmtId="166" fontId="0" fillId="0" borderId="2" xfId="0" applyNumberFormat="1" applyFill="1" applyBorder="1"/>
    <xf numFmtId="0" fontId="11" fillId="0" borderId="0" xfId="0" applyFont="1" applyAlignment="1">
      <alignment vertical="center"/>
    </xf>
    <xf numFmtId="0" fontId="0" fillId="0" borderId="0" xfId="0" applyFont="1"/>
    <xf numFmtId="0" fontId="13" fillId="0" borderId="0" xfId="0" applyFont="1" applyAlignment="1">
      <alignment vertical="center"/>
    </xf>
    <xf numFmtId="167" fontId="0" fillId="0" borderId="0" xfId="0" applyNumberFormat="1"/>
    <xf numFmtId="0" fontId="7" fillId="0" borderId="0" xfId="0" applyFont="1"/>
    <xf numFmtId="0" fontId="9" fillId="0" borderId="0" xfId="0" applyFont="1"/>
    <xf numFmtId="167" fontId="9" fillId="0" borderId="0" xfId="0" applyNumberFormat="1" applyFont="1"/>
    <xf numFmtId="0" fontId="0" fillId="0" borderId="0" xfId="0" applyAlignment="1">
      <alignment horizontal="center"/>
    </xf>
    <xf numFmtId="0" fontId="8" fillId="8" borderId="27" xfId="0" applyFont="1" applyFill="1" applyBorder="1" applyAlignment="1">
      <alignment horizontal="center"/>
    </xf>
    <xf numFmtId="167" fontId="8" fillId="8" borderId="27" xfId="0" applyNumberFormat="1" applyFont="1" applyFill="1" applyBorder="1" applyAlignment="1">
      <alignment horizontal="center"/>
    </xf>
    <xf numFmtId="0" fontId="0" fillId="9" borderId="0" xfId="0" applyFill="1" applyAlignment="1">
      <alignment horizontal="center"/>
    </xf>
    <xf numFmtId="0" fontId="10" fillId="9" borderId="5" xfId="0" applyFont="1" applyFill="1" applyBorder="1" applyAlignment="1">
      <alignment horizontal="center"/>
    </xf>
    <xf numFmtId="0" fontId="10" fillId="9" borderId="0" xfId="0" applyFont="1" applyFill="1" applyBorder="1" applyAlignment="1">
      <alignment horizontal="center"/>
    </xf>
    <xf numFmtId="167" fontId="10" fillId="9" borderId="0" xfId="0" applyNumberFormat="1" applyFont="1" applyFill="1" applyBorder="1" applyAlignment="1">
      <alignment horizontal="center"/>
    </xf>
    <xf numFmtId="0" fontId="0" fillId="9" borderId="0" xfId="0" applyFill="1"/>
    <xf numFmtId="0" fontId="9" fillId="10" borderId="30" xfId="0" applyFont="1" applyFill="1" applyBorder="1" applyAlignment="1">
      <alignment horizontal="center"/>
    </xf>
    <xf numFmtId="166" fontId="9" fillId="10" borderId="30" xfId="0" applyNumberFormat="1" applyFont="1" applyFill="1" applyBorder="1"/>
    <xf numFmtId="0" fontId="0" fillId="7" borderId="30" xfId="0" applyFont="1" applyFill="1" applyBorder="1" applyAlignment="1" applyProtection="1">
      <alignment horizontal="center"/>
      <protection locked="0"/>
    </xf>
    <xf numFmtId="166" fontId="0" fillId="0" borderId="30" xfId="0" applyNumberFormat="1" applyBorder="1"/>
    <xf numFmtId="0" fontId="9" fillId="0" borderId="30" xfId="0" applyFont="1" applyFill="1" applyBorder="1" applyAlignment="1" applyProtection="1">
      <alignment horizontal="center"/>
    </xf>
    <xf numFmtId="0" fontId="0" fillId="0" borderId="29" xfId="0" applyFont="1" applyBorder="1"/>
    <xf numFmtId="0" fontId="0" fillId="0" borderId="30" xfId="0" applyFont="1" applyBorder="1" applyAlignment="1">
      <alignment horizontal="center"/>
    </xf>
    <xf numFmtId="167" fontId="0" fillId="0" borderId="30" xfId="0" applyNumberFormat="1" applyBorder="1"/>
    <xf numFmtId="0" fontId="0" fillId="7" borderId="32" xfId="0" applyFont="1" applyFill="1" applyBorder="1" applyAlignment="1" applyProtection="1">
      <alignment horizontal="center"/>
      <protection locked="0"/>
    </xf>
    <xf numFmtId="166" fontId="0" fillId="0" borderId="32" xfId="0" applyNumberFormat="1" applyBorder="1"/>
    <xf numFmtId="166" fontId="0" fillId="0" borderId="0" xfId="0" applyNumberFormat="1"/>
    <xf numFmtId="0" fontId="0" fillId="0" borderId="24" xfId="0" applyBorder="1" applyProtection="1">
      <protection locked="0"/>
    </xf>
    <xf numFmtId="166" fontId="0" fillId="0" borderId="22" xfId="0" applyNumberFormat="1" applyFont="1" applyBorder="1" applyProtection="1">
      <protection locked="0"/>
    </xf>
    <xf numFmtId="0" fontId="0" fillId="7" borderId="25" xfId="0" applyFill="1" applyBorder="1" applyAlignment="1" applyProtection="1">
      <alignment horizontal="left"/>
      <protection locked="0"/>
    </xf>
    <xf numFmtId="0" fontId="0" fillId="0" borderId="0" xfId="0" applyFont="1" applyAlignment="1">
      <alignment horizontal="left" vertical="top" wrapText="1"/>
    </xf>
    <xf numFmtId="0" fontId="9" fillId="0" borderId="0" xfId="0" applyFont="1" applyAlignment="1">
      <alignment horizontal="left" vertical="center"/>
    </xf>
    <xf numFmtId="0" fontId="9" fillId="0" borderId="0" xfId="0" applyFont="1" applyAlignment="1">
      <alignment horizontal="left" vertical="center" wrapText="1"/>
    </xf>
    <xf numFmtId="0" fontId="15" fillId="7" borderId="25" xfId="0" applyFont="1" applyFill="1" applyBorder="1" applyAlignment="1" applyProtection="1">
      <alignment horizontal="left"/>
      <protection locked="0"/>
    </xf>
    <xf numFmtId="166" fontId="0" fillId="7" borderId="0" xfId="0" applyNumberFormat="1" applyFill="1" applyBorder="1" applyAlignment="1" applyProtection="1">
      <alignment horizontal="left"/>
      <protection locked="0"/>
    </xf>
    <xf numFmtId="0" fontId="8" fillId="8" borderId="26" xfId="0" applyFont="1" applyFill="1" applyBorder="1" applyAlignment="1">
      <alignment horizontal="center"/>
    </xf>
    <xf numFmtId="0" fontId="8" fillId="8" borderId="27" xfId="0" applyFont="1" applyFill="1" applyBorder="1" applyAlignment="1">
      <alignment horizontal="center"/>
    </xf>
    <xf numFmtId="167" fontId="8" fillId="8" borderId="27" xfId="0" applyNumberFormat="1" applyFont="1" applyFill="1" applyBorder="1" applyAlignment="1">
      <alignment horizontal="center"/>
    </xf>
    <xf numFmtId="167" fontId="8" fillId="8" borderId="28" xfId="0" applyNumberFormat="1" applyFont="1" applyFill="1" applyBorder="1" applyAlignment="1">
      <alignment horizontal="center"/>
    </xf>
    <xf numFmtId="167" fontId="10" fillId="9" borderId="0" xfId="0" applyNumberFormat="1" applyFont="1" applyFill="1" applyBorder="1" applyAlignment="1">
      <alignment horizontal="center"/>
    </xf>
    <xf numFmtId="167" fontId="10" fillId="9" borderId="6" xfId="0" applyNumberFormat="1" applyFont="1" applyFill="1" applyBorder="1" applyAlignment="1">
      <alignment horizontal="center"/>
    </xf>
    <xf numFmtId="0" fontId="9" fillId="10" borderId="29" xfId="0" applyFont="1" applyFill="1" applyBorder="1" applyAlignment="1">
      <alignment horizontal="center"/>
    </xf>
    <xf numFmtId="0" fontId="9" fillId="10" borderId="30" xfId="0" applyFont="1" applyFill="1" applyBorder="1" applyAlignment="1">
      <alignment horizontal="center"/>
    </xf>
    <xf numFmtId="166" fontId="9" fillId="10" borderId="0" xfId="0" applyNumberFormat="1" applyFont="1" applyFill="1" applyBorder="1" applyAlignment="1">
      <alignment horizontal="right"/>
    </xf>
    <xf numFmtId="166" fontId="9" fillId="10" borderId="6" xfId="0" applyNumberFormat="1" applyFont="1" applyFill="1" applyBorder="1" applyAlignment="1">
      <alignment horizontal="right"/>
    </xf>
    <xf numFmtId="0" fontId="0" fillId="0" borderId="29" xfId="0" applyFont="1" applyBorder="1" applyAlignment="1">
      <alignment horizontal="left"/>
    </xf>
    <xf numFmtId="0" fontId="0" fillId="0" borderId="30" xfId="0" applyFont="1" applyBorder="1" applyAlignment="1">
      <alignment horizontal="left"/>
    </xf>
    <xf numFmtId="166" fontId="0" fillId="0" borderId="0" xfId="0" applyNumberFormat="1" applyBorder="1" applyAlignment="1">
      <alignment horizontal="right"/>
    </xf>
    <xf numFmtId="166" fontId="0" fillId="0" borderId="6" xfId="0" applyNumberFormat="1" applyBorder="1" applyAlignment="1">
      <alignment horizontal="right"/>
    </xf>
    <xf numFmtId="0" fontId="0" fillId="0" borderId="31" xfId="0" applyFont="1" applyBorder="1" applyAlignment="1">
      <alignment horizontal="left"/>
    </xf>
    <xf numFmtId="0" fontId="0" fillId="0" borderId="32" xfId="0" applyFont="1" applyBorder="1" applyAlignment="1">
      <alignment horizontal="left"/>
    </xf>
    <xf numFmtId="166" fontId="0" fillId="0" borderId="8" xfId="0" applyNumberFormat="1" applyBorder="1" applyAlignment="1">
      <alignment horizontal="right"/>
    </xf>
    <xf numFmtId="166" fontId="0" fillId="0" borderId="9" xfId="0" applyNumberFormat="1" applyBorder="1" applyAlignment="1">
      <alignment horizontal="right"/>
    </xf>
    <xf numFmtId="164" fontId="3" fillId="0" borderId="15" xfId="1" applyNumberFormat="1" applyFont="1" applyFill="1" applyBorder="1" applyAlignment="1">
      <alignment horizontal="center"/>
    </xf>
    <xf numFmtId="164" fontId="3" fillId="0" borderId="17" xfId="1" applyNumberFormat="1" applyFont="1" applyFill="1" applyBorder="1" applyAlignment="1">
      <alignment horizontal="center"/>
    </xf>
    <xf numFmtId="164" fontId="3" fillId="0" borderId="3" xfId="1" applyNumberFormat="1" applyFont="1" applyFill="1" applyBorder="1" applyAlignment="1">
      <alignment horizontal="center"/>
    </xf>
    <xf numFmtId="164" fontId="3" fillId="0" borderId="1" xfId="1" applyNumberFormat="1" applyFont="1" applyFill="1" applyBorder="1" applyAlignment="1">
      <alignment horizontal="center"/>
    </xf>
    <xf numFmtId="164" fontId="3" fillId="0" borderId="4" xfId="1" applyNumberFormat="1" applyFont="1" applyFill="1" applyBorder="1" applyAlignment="1">
      <alignment horizontal="center"/>
    </xf>
    <xf numFmtId="164" fontId="3" fillId="0" borderId="16" xfId="1" applyNumberFormat="1" applyFont="1" applyFill="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xf>
    <xf numFmtId="0" fontId="7" fillId="0" borderId="18" xfId="1" applyFont="1" applyBorder="1" applyAlignment="1">
      <alignment horizontal="center" vertical="top"/>
    </xf>
    <xf numFmtId="0" fontId="7" fillId="0" borderId="19" xfId="1" applyFont="1" applyBorder="1" applyAlignment="1">
      <alignment horizontal="center" vertical="top"/>
    </xf>
    <xf numFmtId="0" fontId="7" fillId="0" borderId="20" xfId="1" applyFont="1" applyBorder="1" applyAlignment="1">
      <alignment horizontal="center" vertical="top"/>
    </xf>
    <xf numFmtId="0" fontId="0" fillId="0" borderId="0" xfId="0" applyAlignment="1">
      <alignment horizontal="center"/>
    </xf>
  </cellXfs>
  <cellStyles count="2">
    <cellStyle name="Normal" xfId="0" builtinId="0"/>
    <cellStyle name="Normal 2" xfId="1" xr:uid="{00000000-0005-0000-0000-000001000000}"/>
  </cellStyles>
  <dxfs count="36">
    <dxf>
      <numFmt numFmtId="19" formatCode="m/d/yyyy"/>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font>
      <fill>
        <patternFill patternType="solid">
          <bgColor rgb="FF00B050"/>
        </patternFill>
      </fill>
    </dxf>
    <dxf>
      <font>
        <strike/>
      </font>
      <fill>
        <patternFill>
          <bgColor rgb="FF00B050"/>
        </patternFill>
      </fill>
    </dxf>
    <dxf>
      <fill>
        <patternFill>
          <bgColor rgb="FF00B0F0"/>
        </patternFill>
      </fill>
    </dxf>
    <dxf>
      <font>
        <strike/>
      </font>
      <fill>
        <patternFill>
          <bgColor rgb="FF00B0F0"/>
        </patternFill>
      </fill>
    </dxf>
    <dxf>
      <fill>
        <patternFill>
          <bgColor rgb="FFFFC000"/>
        </patternFill>
      </fill>
    </dxf>
    <dxf>
      <font>
        <strike/>
      </font>
      <fill>
        <patternFill>
          <bgColor rgb="FFFFC000"/>
        </patternFill>
      </fill>
    </dxf>
    <dxf>
      <fill>
        <patternFill>
          <bgColor theme="5" tint="0.39994506668294322"/>
        </patternFill>
      </fill>
    </dxf>
    <dxf>
      <font>
        <strike/>
      </font>
      <fill>
        <patternFill>
          <bgColor theme="5" tint="0.39994506668294322"/>
        </patternFill>
      </fill>
    </dxf>
    <dxf>
      <fill>
        <patternFill>
          <bgColor rgb="FF00B050"/>
        </patternFill>
      </fill>
    </dxf>
    <dxf>
      <font>
        <strike/>
      </font>
      <fill>
        <patternFill>
          <bgColor rgb="FF00B050"/>
        </patternFill>
      </fill>
    </dxf>
    <dxf>
      <fill>
        <patternFill>
          <bgColor rgb="FF00B0F0"/>
        </patternFill>
      </fill>
    </dxf>
    <dxf>
      <font>
        <strike/>
      </font>
      <fill>
        <patternFill>
          <bgColor rgb="FF00B0F0"/>
        </patternFill>
      </fill>
    </dxf>
    <dxf>
      <fill>
        <patternFill>
          <bgColor rgb="FFFFC000"/>
        </patternFill>
      </fill>
    </dxf>
    <dxf>
      <font>
        <strike/>
      </font>
      <fill>
        <patternFill>
          <bgColor rgb="FFFFC000"/>
        </patternFill>
      </fill>
    </dxf>
    <dxf>
      <fill>
        <patternFill>
          <bgColor theme="5" tint="0.39994506668294322"/>
        </patternFill>
      </fill>
    </dxf>
    <dxf>
      <font>
        <strike/>
      </font>
      <fill>
        <patternFill>
          <bgColor theme="5" tint="0.39994506668294322"/>
        </patternFill>
      </fill>
    </dxf>
    <dxf>
      <fill>
        <patternFill>
          <bgColor rgb="FF00B050"/>
        </patternFill>
      </fill>
    </dxf>
    <dxf>
      <font>
        <strike/>
      </font>
      <fill>
        <patternFill>
          <bgColor rgb="FF00B050"/>
        </patternFill>
      </fill>
    </dxf>
    <dxf>
      <fill>
        <patternFill>
          <bgColor rgb="FF00B0F0"/>
        </patternFill>
      </fill>
    </dxf>
    <dxf>
      <font>
        <strike/>
      </font>
      <fill>
        <patternFill>
          <bgColor rgb="FF00B0F0"/>
        </patternFill>
      </fill>
    </dxf>
    <dxf>
      <fill>
        <patternFill>
          <bgColor rgb="FFFFC000"/>
        </patternFill>
      </fill>
    </dxf>
    <dxf>
      <font>
        <strike/>
      </font>
      <fill>
        <patternFill>
          <bgColor rgb="FFFFC000"/>
        </patternFill>
      </fill>
    </dxf>
    <dxf>
      <fill>
        <patternFill>
          <bgColor theme="5" tint="0.39994506668294322"/>
        </patternFill>
      </fill>
    </dxf>
    <dxf>
      <font>
        <strike/>
      </font>
      <fill>
        <patternFill>
          <bgColor theme="5" tint="0.39994506668294322"/>
        </patternFill>
      </fill>
    </dxf>
    <dxf>
      <fill>
        <patternFill>
          <bgColor rgb="FF00B050"/>
        </patternFill>
      </fill>
    </dxf>
    <dxf>
      <font>
        <strike/>
      </font>
      <fill>
        <patternFill>
          <bgColor rgb="FF00B050"/>
        </patternFill>
      </fill>
    </dxf>
    <dxf>
      <fill>
        <patternFill>
          <bgColor rgb="FF00B0F0"/>
        </patternFill>
      </fill>
    </dxf>
    <dxf>
      <font>
        <strike/>
      </font>
      <fill>
        <patternFill>
          <bgColor rgb="FF00B0F0"/>
        </patternFill>
      </fill>
    </dxf>
    <dxf>
      <fill>
        <patternFill>
          <bgColor rgb="FFFFC000"/>
        </patternFill>
      </fill>
    </dxf>
    <dxf>
      <font>
        <strike/>
      </font>
      <fill>
        <patternFill>
          <bgColor rgb="FFFFC000"/>
        </patternFill>
      </fill>
    </dxf>
    <dxf>
      <fill>
        <patternFill>
          <bgColor theme="5" tint="0.39994506668294322"/>
        </patternFill>
      </fill>
    </dxf>
    <dxf>
      <font>
        <strike/>
      </font>
      <fill>
        <patternFill>
          <bgColor theme="5" tint="0.39994506668294322"/>
        </patternFill>
      </fill>
    </dxf>
    <dxf>
      <fill>
        <patternFill>
          <bgColor rgb="FF0070C0"/>
        </patternFill>
      </fill>
    </dxf>
    <dxf>
      <font>
        <strike/>
      </font>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powerPivotData" Target="model/item.data"/><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ttings!B2"/></Relationships>
</file>

<file path=xl/drawings/drawing1.xml><?xml version="1.0" encoding="utf-8"?>
<xdr:wsDr xmlns:xdr="http://schemas.openxmlformats.org/drawingml/2006/spreadsheetDrawing" xmlns:a="http://schemas.openxmlformats.org/drawingml/2006/main">
  <xdr:oneCellAnchor>
    <xdr:from>
      <xdr:col>4</xdr:col>
      <xdr:colOff>615271</xdr:colOff>
      <xdr:row>10</xdr:row>
      <xdr:rowOff>99785</xdr:rowOff>
    </xdr:from>
    <xdr:ext cx="872443" cy="311496"/>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4018871" y="2665185"/>
          <a:ext cx="87244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a:solidFill>
                <a:schemeClr val="bg1"/>
              </a:solidFill>
            </a:rPr>
            <a:t>Settings</a:t>
          </a:r>
        </a:p>
      </xdr:txBody>
    </xdr:sp>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stateofwa.sharepoint.com/Sites/des-des/SiteCollectionDocuments/AboutDES/Divisions/ContractsLegalServices/MasterContractingAndConsulting/Writing%20a%20Master%20Contract%20Competitive%20Solicitation/SolicitationCalculator.xlsx?62CC4703" TargetMode="External"/><Relationship Id="rId1" Type="http://schemas.openxmlformats.org/officeDocument/2006/relationships/externalLinkPath" Target="file:///\\62CC4703\Solicitation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ation Calculator"/>
      <sheetName val="Settings"/>
      <sheetName val="Solicitation Calculator (2)"/>
    </sheetNames>
    <sheetDataSet>
      <sheetData sheetId="0" refreshError="1"/>
      <sheetData sheetId="1" refreshError="1">
        <row r="5">
          <cell r="C5" t="str">
            <v>0000011</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C31" totalsRowShown="0">
  <autoFilter ref="B12:C31" xr:uid="{00000000-0009-0000-0100-000001000000}">
    <filterColumn colId="0" hiddenButton="1"/>
    <filterColumn colId="1" hiddenButton="1"/>
  </autoFilter>
  <tableColumns count="2">
    <tableColumn id="1" xr3:uid="{00000000-0010-0000-0000-000001000000}" name="Topic" dataDxfId="1"/>
    <tableColumn id="2" xr3:uid="{00000000-0010-0000-0000-000002000000}" name="Scheduled"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7"/>
  <sheetViews>
    <sheetView showGridLines="0" topLeftCell="A7" workbookViewId="0">
      <selection activeCell="D17" sqref="D17"/>
    </sheetView>
  </sheetViews>
  <sheetFormatPr defaultColWidth="0" defaultRowHeight="15" zeroHeight="1" x14ac:dyDescent="0.25"/>
  <cols>
    <col min="1" max="1" width="1.7109375" customWidth="1"/>
    <col min="2" max="2" width="24.7109375" customWidth="1"/>
    <col min="3" max="3" width="20.42578125" customWidth="1"/>
    <col min="4" max="4" width="13.42578125" customWidth="1"/>
    <col min="5" max="5" width="36.7109375" customWidth="1"/>
    <col min="6" max="6" width="29.7109375" customWidth="1"/>
    <col min="7" max="7" width="4.42578125" customWidth="1"/>
    <col min="8" max="15" width="8.7109375" customWidth="1"/>
    <col min="16" max="16384" width="8.7109375" hidden="1"/>
  </cols>
  <sheetData>
    <row r="1" spans="1:14" ht="18.75" x14ac:dyDescent="0.25">
      <c r="A1" s="45" t="s">
        <v>51</v>
      </c>
      <c r="B1" s="46"/>
      <c r="C1" s="46"/>
      <c r="D1" s="46"/>
      <c r="E1" s="46"/>
      <c r="F1" s="46"/>
      <c r="G1" s="46"/>
      <c r="H1" s="46"/>
      <c r="I1" s="46"/>
      <c r="J1" s="46"/>
      <c r="K1" s="46"/>
      <c r="L1" s="46"/>
      <c r="M1" s="46"/>
      <c r="N1" s="46"/>
    </row>
    <row r="2" spans="1:14" ht="57.4" customHeight="1" x14ac:dyDescent="0.25">
      <c r="A2" s="74" t="s">
        <v>52</v>
      </c>
      <c r="B2" s="74"/>
      <c r="C2" s="74"/>
      <c r="D2" s="74"/>
      <c r="E2" s="74"/>
      <c r="F2" s="74"/>
      <c r="G2" s="74"/>
      <c r="H2" s="74"/>
      <c r="I2" s="74"/>
      <c r="J2" s="74"/>
      <c r="K2" s="74"/>
      <c r="L2" s="74"/>
      <c r="M2" s="74"/>
      <c r="N2" s="74"/>
    </row>
    <row r="3" spans="1:14" ht="15.75" x14ac:dyDescent="0.25">
      <c r="A3" s="47" t="s">
        <v>53</v>
      </c>
      <c r="B3" s="46"/>
      <c r="C3" s="46"/>
      <c r="D3" s="46"/>
      <c r="E3" s="46"/>
      <c r="F3" s="46"/>
      <c r="G3" s="46"/>
      <c r="H3" s="46"/>
      <c r="I3" s="46"/>
      <c r="J3" s="46"/>
      <c r="K3" s="46"/>
      <c r="L3" s="46"/>
      <c r="M3" s="46"/>
      <c r="N3" s="46"/>
    </row>
    <row r="4" spans="1:14" x14ac:dyDescent="0.25">
      <c r="A4" s="75" t="s">
        <v>54</v>
      </c>
      <c r="B4" s="75"/>
      <c r="C4" s="75"/>
      <c r="D4" s="75"/>
      <c r="E4" s="75"/>
      <c r="F4" s="75"/>
      <c r="G4" s="75"/>
      <c r="H4" s="75"/>
      <c r="I4" s="75"/>
      <c r="J4" s="75"/>
      <c r="K4" s="75"/>
      <c r="L4" s="75"/>
      <c r="M4" s="75"/>
      <c r="N4" s="75"/>
    </row>
    <row r="5" spans="1:14" ht="25.5" customHeight="1" x14ac:dyDescent="0.25">
      <c r="A5" s="76" t="s">
        <v>55</v>
      </c>
      <c r="B5" s="76"/>
      <c r="C5" s="76"/>
      <c r="D5" s="76"/>
      <c r="E5" s="76"/>
      <c r="F5" s="76"/>
      <c r="G5" s="76"/>
      <c r="H5" s="76"/>
      <c r="I5" s="76"/>
      <c r="J5" s="76"/>
      <c r="K5" s="76"/>
      <c r="L5" s="76"/>
      <c r="M5" s="76"/>
      <c r="N5" s="76"/>
    </row>
    <row r="6" spans="1:14" x14ac:dyDescent="0.25">
      <c r="A6" s="75" t="s">
        <v>56</v>
      </c>
      <c r="B6" s="75"/>
      <c r="C6" s="75"/>
      <c r="D6" s="75"/>
      <c r="E6" s="75"/>
      <c r="F6" s="75"/>
      <c r="G6" s="75"/>
      <c r="H6" s="75"/>
      <c r="I6" s="75"/>
      <c r="J6" s="75"/>
      <c r="K6" s="75"/>
      <c r="L6" s="75"/>
      <c r="M6" s="75"/>
      <c r="N6" s="75"/>
    </row>
    <row r="7" spans="1:14" x14ac:dyDescent="0.25">
      <c r="E7" s="48"/>
      <c r="F7" s="48"/>
    </row>
    <row r="8" spans="1:14" ht="18.75" x14ac:dyDescent="0.3">
      <c r="B8" s="49" t="s">
        <v>57</v>
      </c>
      <c r="C8" s="77">
        <v>15722</v>
      </c>
      <c r="D8" s="77"/>
      <c r="E8" s="77"/>
      <c r="F8" s="77"/>
    </row>
    <row r="9" spans="1:14" x14ac:dyDescent="0.25">
      <c r="E9" s="48"/>
      <c r="F9" s="48"/>
    </row>
    <row r="10" spans="1:14" x14ac:dyDescent="0.25">
      <c r="B10" s="50" t="s">
        <v>58</v>
      </c>
      <c r="C10" s="73" t="s">
        <v>86</v>
      </c>
      <c r="D10" s="73"/>
      <c r="E10" s="73"/>
      <c r="F10" s="48"/>
    </row>
    <row r="11" spans="1:14" x14ac:dyDescent="0.25">
      <c r="B11" s="50" t="s">
        <v>59</v>
      </c>
      <c r="C11" s="78">
        <v>45028</v>
      </c>
      <c r="D11" s="78"/>
      <c r="E11" s="48"/>
      <c r="F11" s="51" t="s">
        <v>60</v>
      </c>
      <c r="G11" s="50">
        <f>_xlfn.DAYS(F16,E16)</f>
        <v>64</v>
      </c>
    </row>
    <row r="12" spans="1:14" x14ac:dyDescent="0.25">
      <c r="E12" s="48"/>
      <c r="F12" s="48"/>
    </row>
    <row r="13" spans="1:14" ht="15.75" thickBot="1" x14ac:dyDescent="0.3">
      <c r="E13" s="48"/>
      <c r="F13" s="48"/>
    </row>
    <row r="14" spans="1:14" x14ac:dyDescent="0.25">
      <c r="A14" s="52"/>
      <c r="B14" s="79" t="s">
        <v>61</v>
      </c>
      <c r="C14" s="80"/>
      <c r="D14" s="53" t="s">
        <v>62</v>
      </c>
      <c r="E14" s="54" t="s">
        <v>63</v>
      </c>
      <c r="F14" s="81" t="s">
        <v>64</v>
      </c>
      <c r="G14" s="82"/>
    </row>
    <row r="15" spans="1:14" x14ac:dyDescent="0.25">
      <c r="A15" s="55"/>
      <c r="B15" s="56"/>
      <c r="C15" s="57"/>
      <c r="D15" s="57"/>
      <c r="E15" s="58"/>
      <c r="F15" s="83"/>
      <c r="G15" s="84"/>
      <c r="H15" s="59"/>
      <c r="I15" s="59"/>
      <c r="J15" s="59"/>
      <c r="K15" s="59"/>
      <c r="L15" s="59"/>
      <c r="M15" s="59"/>
      <c r="N15" s="59"/>
    </row>
    <row r="16" spans="1:14" x14ac:dyDescent="0.25">
      <c r="B16" s="85" t="s">
        <v>65</v>
      </c>
      <c r="C16" s="86"/>
      <c r="D16" s="60">
        <f>NETWORKDAYS(E17,F20,'Holidays Dont Touch'!$B$3:$L$35)</f>
        <v>46</v>
      </c>
      <c r="E16" s="61">
        <f>C11</f>
        <v>45028</v>
      </c>
      <c r="F16" s="87">
        <f>F20</f>
        <v>45092</v>
      </c>
      <c r="G16" s="88"/>
    </row>
    <row r="17" spans="2:7" x14ac:dyDescent="0.25">
      <c r="B17" s="89" t="s">
        <v>66</v>
      </c>
      <c r="C17" s="90"/>
      <c r="D17" s="62">
        <v>45</v>
      </c>
      <c r="E17" s="63">
        <f>E16</f>
        <v>45028</v>
      </c>
      <c r="F17" s="91">
        <f>WORKDAY(E17,D17,'Holidays Dont Touch'!$B$3:$L$35)</f>
        <v>45092</v>
      </c>
      <c r="G17" s="92"/>
    </row>
    <row r="18" spans="2:7" x14ac:dyDescent="0.25">
      <c r="B18" s="89" t="s">
        <v>67</v>
      </c>
      <c r="C18" s="90"/>
      <c r="D18" s="62">
        <v>0</v>
      </c>
      <c r="E18" s="63">
        <f>WORKDAY.INTL(E17,10,weekend,'Holidays Dont Touch'!$B$3:$L$35)</f>
        <v>45042</v>
      </c>
      <c r="F18" s="91">
        <f>WORKDAY(E18,D18,'Holidays Dont Touch'!$B$3:$L$35)</f>
        <v>45042</v>
      </c>
      <c r="G18" s="92"/>
    </row>
    <row r="19" spans="2:7" x14ac:dyDescent="0.25">
      <c r="B19" s="89" t="s">
        <v>68</v>
      </c>
      <c r="C19" s="90"/>
      <c r="D19" s="64">
        <f>NETWORKDAYS(E19,F19,'Holidays Dont Touch'!$B$3:$L$35)</f>
        <v>40</v>
      </c>
      <c r="E19" s="63">
        <f>$E$17</f>
        <v>45028</v>
      </c>
      <c r="F19" s="91">
        <f>WORKDAY.INTL(E20,-6,weekend,'Holidays Dont Touch'!$B$3:$L$35)</f>
        <v>45084</v>
      </c>
      <c r="G19" s="92"/>
    </row>
    <row r="20" spans="2:7" x14ac:dyDescent="0.25">
      <c r="B20" s="89" t="s">
        <v>69</v>
      </c>
      <c r="C20" s="90"/>
      <c r="D20" s="62">
        <v>0</v>
      </c>
      <c r="E20" s="63">
        <f>WORKDAY(E17,D17,'Holidays Dont Touch'!$B$3:$L$35)</f>
        <v>45092</v>
      </c>
      <c r="F20" s="91">
        <f>WORKDAY(E20,D20,'Holidays Dont Touch'!$B$3:$L$35)</f>
        <v>45092</v>
      </c>
      <c r="G20" s="92"/>
    </row>
    <row r="21" spans="2:7" x14ac:dyDescent="0.25">
      <c r="B21" s="65"/>
      <c r="C21" s="66"/>
      <c r="D21" s="66"/>
      <c r="E21" s="67"/>
      <c r="F21" s="91"/>
      <c r="G21" s="92"/>
    </row>
    <row r="22" spans="2:7" x14ac:dyDescent="0.25">
      <c r="B22" s="85" t="s">
        <v>10</v>
      </c>
      <c r="C22" s="86"/>
      <c r="D22" s="60">
        <f>NETWORKDAYS(E23,F26,'Holidays Dont Touch'!$B$3:$L$35)</f>
        <v>44</v>
      </c>
      <c r="E22" s="61">
        <f>WORKDAY(F20,1,'Holidays Dont Touch'!$B$3:$L$35)</f>
        <v>45093</v>
      </c>
      <c r="F22" s="87">
        <f>WORKDAY(E22,D22,'Holidays Dont Touch'!$B$3:$L$35)</f>
        <v>45159</v>
      </c>
      <c r="G22" s="88"/>
    </row>
    <row r="23" spans="2:7" x14ac:dyDescent="0.25">
      <c r="B23" s="89" t="s">
        <v>70</v>
      </c>
      <c r="C23" s="90"/>
      <c r="D23" s="62">
        <v>10</v>
      </c>
      <c r="E23" s="63">
        <f>WORKDAY(F20,1,'Holidays Dont Touch'!$B$3:$L$35)</f>
        <v>45093</v>
      </c>
      <c r="F23" s="91">
        <f>WORKDAY(E23,D23,'Holidays Dont Touch'!$B$3:$L$35)</f>
        <v>45110</v>
      </c>
      <c r="G23" s="92"/>
    </row>
    <row r="24" spans="2:7" x14ac:dyDescent="0.25">
      <c r="B24" s="89" t="s">
        <v>71</v>
      </c>
      <c r="C24" s="90"/>
      <c r="D24" s="62">
        <v>20</v>
      </c>
      <c r="E24" s="63">
        <f>WORKDAY(F23,1,'Holidays Dont Touch'!$B$3:$L$35)</f>
        <v>45112</v>
      </c>
      <c r="F24" s="91">
        <f>WORKDAY(E24,D24,'Holidays Dont Touch'!$B$3:$L$35)</f>
        <v>45140</v>
      </c>
      <c r="G24" s="92"/>
    </row>
    <row r="25" spans="2:7" x14ac:dyDescent="0.25">
      <c r="B25" s="89" t="s">
        <v>72</v>
      </c>
      <c r="C25" s="90"/>
      <c r="D25" s="62">
        <v>5</v>
      </c>
      <c r="E25" s="63">
        <f>WORKDAY(F24,1,'Holidays Dont Touch'!$B$3:$L$35)</f>
        <v>45141</v>
      </c>
      <c r="F25" s="91">
        <f>WORKDAY(E25,D25,'Holidays Dont Touch'!$B$3:$L$35)</f>
        <v>45148</v>
      </c>
      <c r="G25" s="92"/>
    </row>
    <row r="26" spans="2:7" x14ac:dyDescent="0.25">
      <c r="B26" s="89" t="s">
        <v>73</v>
      </c>
      <c r="C26" s="90"/>
      <c r="D26" s="62">
        <v>5</v>
      </c>
      <c r="E26" s="63">
        <f>WORKDAY(F25,1,'Holidays Dont Touch'!$B$3:$L$35)</f>
        <v>45149</v>
      </c>
      <c r="F26" s="91">
        <f>WORKDAY(E26,D26,'Holidays Dont Touch'!$B$3:$L$35)</f>
        <v>45156</v>
      </c>
      <c r="G26" s="92"/>
    </row>
    <row r="27" spans="2:7" x14ac:dyDescent="0.25">
      <c r="B27" s="65"/>
      <c r="C27" s="66"/>
      <c r="D27" s="66"/>
      <c r="E27" s="67"/>
      <c r="F27" s="91"/>
      <c r="G27" s="92"/>
    </row>
    <row r="28" spans="2:7" x14ac:dyDescent="0.25">
      <c r="B28" s="85" t="s">
        <v>74</v>
      </c>
      <c r="C28" s="86"/>
      <c r="D28" s="60">
        <f>NETWORKDAYS(E29,F31,'Holidays Dont Touch'!$B$3:$L$35)</f>
        <v>31</v>
      </c>
      <c r="E28" s="61">
        <f>WORKDAY(F26,1,'Holidays Dont Touch'!$B$3:$L$35)</f>
        <v>45159</v>
      </c>
      <c r="F28" s="87">
        <f>WORKDAY(E28,D28,'Holidays Dont Touch'!$B$3:$L$35)</f>
        <v>45203</v>
      </c>
      <c r="G28" s="88"/>
    </row>
    <row r="29" spans="2:7" x14ac:dyDescent="0.25">
      <c r="B29" s="89" t="s">
        <v>75</v>
      </c>
      <c r="C29" s="90"/>
      <c r="D29" s="62">
        <v>0</v>
      </c>
      <c r="E29" s="63">
        <f>WORKDAY(F26,1,'Holidays Dont Touch'!$B$3:$L$35)</f>
        <v>45159</v>
      </c>
      <c r="F29" s="91">
        <f>WORKDAY(E29,D29,'Holidays Dont Touch'!$B$3:$L$35)</f>
        <v>45159</v>
      </c>
      <c r="G29" s="92"/>
    </row>
    <row r="30" spans="2:7" x14ac:dyDescent="0.25">
      <c r="B30" s="89" t="s">
        <v>76</v>
      </c>
      <c r="C30" s="90"/>
      <c r="D30" s="62">
        <v>8</v>
      </c>
      <c r="E30" s="63">
        <f>WORKDAY(F29,1,'Holidays Dont Touch'!$B$3:$L$35)</f>
        <v>45160</v>
      </c>
      <c r="F30" s="91">
        <f>WORKDAY(E30,D30,'Holidays Dont Touch'!$B$3:$L$35)</f>
        <v>45170</v>
      </c>
      <c r="G30" s="92"/>
    </row>
    <row r="31" spans="2:7" ht="15.75" thickBot="1" x14ac:dyDescent="0.3">
      <c r="B31" s="93" t="s">
        <v>77</v>
      </c>
      <c r="C31" s="94"/>
      <c r="D31" s="68">
        <v>20</v>
      </c>
      <c r="E31" s="69">
        <f>WORKDAY(F30,1,'Holidays Dont Touch'!$B$3:$L$35)</f>
        <v>45174</v>
      </c>
      <c r="F31" s="95">
        <f>WORKDAY(E31,D31,'Holidays Dont Touch'!$B$3:$L$35)</f>
        <v>45202</v>
      </c>
      <c r="G31" s="96"/>
    </row>
    <row r="32" spans="2:7" x14ac:dyDescent="0.25">
      <c r="E32" s="48"/>
      <c r="F32" s="48"/>
    </row>
    <row r="33" spans="5:6" x14ac:dyDescent="0.25">
      <c r="E33" s="48"/>
      <c r="F33" s="48"/>
    </row>
    <row r="34" spans="5:6" hidden="1" x14ac:dyDescent="0.25">
      <c r="E34" s="48"/>
      <c r="F34" s="48"/>
    </row>
    <row r="35" spans="5:6" hidden="1" x14ac:dyDescent="0.25">
      <c r="E35" s="48"/>
      <c r="F35" s="48"/>
    </row>
    <row r="36" spans="5:6" hidden="1" x14ac:dyDescent="0.25">
      <c r="E36" s="48"/>
      <c r="F36" s="48"/>
    </row>
    <row r="37" spans="5:6" hidden="1" x14ac:dyDescent="0.25">
      <c r="E37" s="48"/>
      <c r="F37" s="48"/>
    </row>
  </sheetData>
  <sheetProtection sheet="1" objects="1" scenarios="1" formatColumns="0" selectLockedCells="1"/>
  <mergeCells count="40">
    <mergeCell ref="B31:C31"/>
    <mergeCell ref="F31:G31"/>
    <mergeCell ref="F27:G27"/>
    <mergeCell ref="B28:C28"/>
    <mergeCell ref="F28:G28"/>
    <mergeCell ref="B29:C29"/>
    <mergeCell ref="F29:G29"/>
    <mergeCell ref="B30:C30"/>
    <mergeCell ref="F30:G30"/>
    <mergeCell ref="B24:C24"/>
    <mergeCell ref="F24:G24"/>
    <mergeCell ref="B25:C25"/>
    <mergeCell ref="F25:G25"/>
    <mergeCell ref="B26:C26"/>
    <mergeCell ref="F26:G26"/>
    <mergeCell ref="B23:C23"/>
    <mergeCell ref="F23:G23"/>
    <mergeCell ref="B17:C17"/>
    <mergeCell ref="F17:G17"/>
    <mergeCell ref="B18:C18"/>
    <mergeCell ref="F18:G18"/>
    <mergeCell ref="B19:C19"/>
    <mergeCell ref="F19:G19"/>
    <mergeCell ref="B20:C20"/>
    <mergeCell ref="F20:G20"/>
    <mergeCell ref="F21:G21"/>
    <mergeCell ref="B22:C22"/>
    <mergeCell ref="F22:G22"/>
    <mergeCell ref="C11:D11"/>
    <mergeCell ref="B14:C14"/>
    <mergeCell ref="F14:G14"/>
    <mergeCell ref="F15:G15"/>
    <mergeCell ref="B16:C16"/>
    <mergeCell ref="F16:G16"/>
    <mergeCell ref="C10:E10"/>
    <mergeCell ref="A2:N2"/>
    <mergeCell ref="A4:N4"/>
    <mergeCell ref="A5:N5"/>
    <mergeCell ref="A6:N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46"/>
  <sheetViews>
    <sheetView showGridLines="0" tabSelected="1" topLeftCell="A4" zoomScaleNormal="100" workbookViewId="0">
      <selection activeCell="C10" sqref="C10"/>
    </sheetView>
  </sheetViews>
  <sheetFormatPr defaultColWidth="0" defaultRowHeight="15" zeroHeight="1" x14ac:dyDescent="0.25"/>
  <cols>
    <col min="1" max="1" width="3.28515625" customWidth="1"/>
    <col min="2" max="2" width="32.7109375" bestFit="1" customWidth="1"/>
    <col min="3" max="3" width="31.140625" customWidth="1"/>
    <col min="4" max="4" width="5.7109375" bestFit="1" customWidth="1"/>
    <col min="5" max="5" width="9.42578125" hidden="1" customWidth="1"/>
    <col min="6" max="6" width="5" customWidth="1"/>
    <col min="7" max="13" width="3" customWidth="1"/>
    <col min="14" max="14" width="0.7109375" customWidth="1"/>
    <col min="15" max="21" width="3" customWidth="1"/>
    <col min="22" max="22" width="0.7109375" customWidth="1"/>
    <col min="23" max="29" width="3" customWidth="1"/>
    <col min="30" max="30" width="0.7109375" customWidth="1"/>
    <col min="31" max="37" width="3" customWidth="1"/>
    <col min="38" max="38" width="0.7109375" customWidth="1"/>
    <col min="39" max="39" width="3" bestFit="1" customWidth="1"/>
    <col min="40" max="43" width="3" customWidth="1"/>
    <col min="44" max="44" width="3" bestFit="1" customWidth="1"/>
    <col min="45" max="45" width="3" customWidth="1"/>
    <col min="46" max="46" width="0.7109375" customWidth="1"/>
    <col min="47" max="53" width="3" customWidth="1"/>
    <col min="54" max="54" width="2" customWidth="1"/>
    <col min="55" max="57" width="0" hidden="1" customWidth="1"/>
    <col min="58" max="16384" width="9.28515625" hidden="1"/>
  </cols>
  <sheetData>
    <row r="1" spans="1:53" ht="18.75" x14ac:dyDescent="0.25">
      <c r="A1" s="45" t="s">
        <v>78</v>
      </c>
      <c r="B1" s="46"/>
      <c r="C1" s="46"/>
      <c r="D1" s="46"/>
      <c r="E1" s="46"/>
      <c r="F1" s="46"/>
      <c r="G1" s="46"/>
      <c r="H1" s="46"/>
      <c r="I1" s="46"/>
      <c r="J1" s="46"/>
      <c r="K1" s="46"/>
      <c r="L1" s="46"/>
      <c r="M1" s="46"/>
      <c r="N1" s="46"/>
    </row>
    <row r="2" spans="1:53" ht="30" customHeight="1" x14ac:dyDescent="0.25">
      <c r="A2" s="74" t="s">
        <v>82</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row>
    <row r="3" spans="1:53" x14ac:dyDescent="0.25">
      <c r="A3" s="74" t="s">
        <v>81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row>
    <row r="4" spans="1:53" ht="15.75" x14ac:dyDescent="0.25">
      <c r="A4" s="47" t="s">
        <v>53</v>
      </c>
      <c r="B4" s="46"/>
      <c r="C4" s="46"/>
      <c r="D4" s="46"/>
      <c r="E4" s="46"/>
      <c r="F4" s="46"/>
      <c r="G4" s="46"/>
      <c r="H4" s="46"/>
      <c r="I4" s="46"/>
      <c r="J4" s="46"/>
      <c r="K4" s="46"/>
      <c r="L4" s="46"/>
      <c r="M4" s="46"/>
      <c r="N4" s="46"/>
    </row>
    <row r="5" spans="1:53" ht="30" customHeight="1" x14ac:dyDescent="0.25">
      <c r="A5" s="106" t="s">
        <v>85</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row>
    <row r="6" spans="1:53" ht="29.65" customHeight="1" x14ac:dyDescent="0.25">
      <c r="A6" s="106" t="s">
        <v>84</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row>
    <row r="7" spans="1:53" ht="15.75" thickBot="1" x14ac:dyDescent="0.3"/>
    <row r="8" spans="1:53" ht="19.5" thickBot="1" x14ac:dyDescent="0.3">
      <c r="G8" s="108" t="str">
        <f>CalendarYear&amp;" Timeline "</f>
        <v xml:space="preserve">2022 Timeline </v>
      </c>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10"/>
    </row>
    <row r="9" spans="1:53" ht="15.75" thickBot="1" x14ac:dyDescent="0.3">
      <c r="B9" s="41" t="s">
        <v>49</v>
      </c>
      <c r="C9" s="72">
        <v>45191</v>
      </c>
      <c r="D9" s="1"/>
      <c r="G9" s="102">
        <f>DATE(CalendarYear,1,1)</f>
        <v>44562</v>
      </c>
      <c r="H9" s="97"/>
      <c r="I9" s="97"/>
      <c r="J9" s="97"/>
      <c r="K9" s="97"/>
      <c r="L9" s="97"/>
      <c r="M9" s="97"/>
      <c r="N9" s="37"/>
      <c r="O9" s="97">
        <f>DATE(CalendarYear,2,1)</f>
        <v>44593</v>
      </c>
      <c r="P9" s="97"/>
      <c r="Q9" s="97"/>
      <c r="R9" s="97"/>
      <c r="S9" s="97"/>
      <c r="T9" s="97"/>
      <c r="U9" s="97"/>
      <c r="V9" s="37"/>
      <c r="W9" s="97">
        <f>DATE(CalendarYear,3,1)</f>
        <v>44621</v>
      </c>
      <c r="X9" s="97"/>
      <c r="Y9" s="97"/>
      <c r="Z9" s="97"/>
      <c r="AA9" s="97"/>
      <c r="AB9" s="97"/>
      <c r="AC9" s="97"/>
      <c r="AD9" s="37"/>
      <c r="AE9" s="97">
        <f>DATE(CalendarYear,4,1)</f>
        <v>44652</v>
      </c>
      <c r="AF9" s="97"/>
      <c r="AG9" s="97"/>
      <c r="AH9" s="97"/>
      <c r="AI9" s="97"/>
      <c r="AJ9" s="97"/>
      <c r="AK9" s="97"/>
      <c r="AL9" s="36"/>
      <c r="AM9" s="97">
        <f>DATE(CalendarYear,5,1)</f>
        <v>44682</v>
      </c>
      <c r="AN9" s="97"/>
      <c r="AO9" s="97"/>
      <c r="AP9" s="97"/>
      <c r="AQ9" s="97"/>
      <c r="AR9" s="97"/>
      <c r="AS9" s="97"/>
      <c r="AT9" s="37"/>
      <c r="AU9" s="97">
        <f>DATE(CalendarYear,6,1)</f>
        <v>44713</v>
      </c>
      <c r="AV9" s="97"/>
      <c r="AW9" s="97"/>
      <c r="AX9" s="97"/>
      <c r="AY9" s="97"/>
      <c r="AZ9" s="97"/>
      <c r="BA9" s="98"/>
    </row>
    <row r="10" spans="1:53" ht="17.25" thickTop="1" thickBot="1" x14ac:dyDescent="0.3">
      <c r="B10" s="42" t="s">
        <v>79</v>
      </c>
      <c r="C10" s="71" t="s">
        <v>80</v>
      </c>
      <c r="E10">
        <f>IF(C10="Full",1,2)</f>
        <v>1</v>
      </c>
      <c r="G10" s="32" t="s">
        <v>43</v>
      </c>
      <c r="H10" s="33" t="s">
        <v>44</v>
      </c>
      <c r="I10" s="33" t="s">
        <v>45</v>
      </c>
      <c r="J10" s="33" t="s">
        <v>46</v>
      </c>
      <c r="K10" s="33" t="s">
        <v>45</v>
      </c>
      <c r="L10" s="33" t="s">
        <v>47</v>
      </c>
      <c r="M10" s="33" t="s">
        <v>43</v>
      </c>
      <c r="N10" s="5"/>
      <c r="O10" s="33" t="s">
        <v>43</v>
      </c>
      <c r="P10" s="33" t="s">
        <v>44</v>
      </c>
      <c r="Q10" s="33" t="s">
        <v>45</v>
      </c>
      <c r="R10" s="33" t="s">
        <v>46</v>
      </c>
      <c r="S10" s="33" t="s">
        <v>45</v>
      </c>
      <c r="T10" s="33" t="s">
        <v>47</v>
      </c>
      <c r="U10" s="33" t="s">
        <v>43</v>
      </c>
      <c r="V10" s="4"/>
      <c r="W10" s="33" t="s">
        <v>43</v>
      </c>
      <c r="X10" s="33" t="s">
        <v>44</v>
      </c>
      <c r="Y10" s="33" t="s">
        <v>45</v>
      </c>
      <c r="Z10" s="33" t="s">
        <v>46</v>
      </c>
      <c r="AA10" s="33" t="s">
        <v>45</v>
      </c>
      <c r="AB10" s="33" t="s">
        <v>47</v>
      </c>
      <c r="AC10" s="33" t="s">
        <v>43</v>
      </c>
      <c r="AD10" s="6"/>
      <c r="AE10" s="33" t="s">
        <v>43</v>
      </c>
      <c r="AF10" s="33" t="s">
        <v>44</v>
      </c>
      <c r="AG10" s="33" t="s">
        <v>45</v>
      </c>
      <c r="AH10" s="33" t="s">
        <v>46</v>
      </c>
      <c r="AI10" s="33" t="s">
        <v>45</v>
      </c>
      <c r="AJ10" s="33" t="s">
        <v>47</v>
      </c>
      <c r="AK10" s="33" t="s">
        <v>43</v>
      </c>
      <c r="AL10" s="4"/>
      <c r="AM10" s="33" t="s">
        <v>43</v>
      </c>
      <c r="AN10" s="33" t="s">
        <v>44</v>
      </c>
      <c r="AO10" s="33" t="s">
        <v>45</v>
      </c>
      <c r="AP10" s="33" t="s">
        <v>46</v>
      </c>
      <c r="AQ10" s="33" t="s">
        <v>45</v>
      </c>
      <c r="AR10" s="33" t="s">
        <v>47</v>
      </c>
      <c r="AS10" s="33" t="s">
        <v>43</v>
      </c>
      <c r="AT10" s="20"/>
      <c r="AU10" s="33" t="s">
        <v>43</v>
      </c>
      <c r="AV10" s="33" t="s">
        <v>44</v>
      </c>
      <c r="AW10" s="33" t="s">
        <v>45</v>
      </c>
      <c r="AX10" s="33" t="s">
        <v>46</v>
      </c>
      <c r="AY10" s="33" t="s">
        <v>45</v>
      </c>
      <c r="AZ10" s="33" t="s">
        <v>47</v>
      </c>
      <c r="BA10" s="35" t="s">
        <v>43</v>
      </c>
    </row>
    <row r="11" spans="1:53" ht="15.75" x14ac:dyDescent="0.25">
      <c r="E11">
        <f>YEAR($C$13)</f>
        <v>2022</v>
      </c>
      <c r="G11" s="31" t="str">
        <f>IF(DAY(JanSun1)=1,"",IF(AND(YEAR(JanSun1+1)=CalendarYear,MONTH(JanSun1+1)=1),JanSun1+1,""))</f>
        <v/>
      </c>
      <c r="H11" s="30" t="str">
        <f>IF(DAY(JanSun1)=1,"",IF(AND(YEAR(JanSun1+2)=CalendarYear,MONTH(JanSun1+2)=1),JanSun1+2,""))</f>
        <v/>
      </c>
      <c r="I11" s="30" t="str">
        <f>IF(DAY(JanSun1)=1,"",IF(AND(YEAR(JanSun1+3)=CalendarYear,MONTH(JanSun1+3)=1),JanSun1+3,""))</f>
        <v/>
      </c>
      <c r="J11" s="30" t="str">
        <f>IF(DAY(JanSun1)=1,"",IF(AND(YEAR(JanSun1+4)=CalendarYear,MONTH(JanSun1+4)=1),JanSun1+4,""))</f>
        <v/>
      </c>
      <c r="K11" s="30" t="str">
        <f>IF(DAY(JanSun1)=1,"",IF(AND(YEAR(JanSun1+5)=CalendarYear,MONTH(JanSun1+5)=1),JanSun1+5,""))</f>
        <v/>
      </c>
      <c r="L11" s="30" t="str">
        <f>IF(DAY(JanSun1)=1,"",IF(AND(YEAR(JanSun1+6)=CalendarYear,MONTH(JanSun1+6)=1),JanSun1+6,""))</f>
        <v/>
      </c>
      <c r="M11" s="30">
        <f>IF(DAY(JanSun1)=1,IF(AND(YEAR(JanSun1)=CalendarYear,MONTH(JanSun1)=1),JanSun1,""),IF(AND(YEAR(JanSun1+7)=CalendarYear,MONTH(JanSun1+7)=1),JanSun1+7,""))</f>
        <v>44562</v>
      </c>
      <c r="N11" s="7"/>
      <c r="O11" s="30" t="str">
        <f>IF(DAY(FebSun1)=1,"",IF(AND(YEAR(FebSun1+1)=CalendarYear,MONTH(FebSun1+1)=2),FebSun1+1,""))</f>
        <v/>
      </c>
      <c r="P11" s="30" t="str">
        <f>IF(DAY(FebSun1)=1,"",IF(AND(YEAR(FebSun1+2)=CalendarYear,MONTH(FebSun1+2)=2),FebSun1+2,""))</f>
        <v/>
      </c>
      <c r="Q11" s="30">
        <f>IF(DAY(FebSun1)=1,"",IF(AND(YEAR(FebSun1+3)=CalendarYear,MONTH(FebSun1+3)=2),FebSun1+3,""))</f>
        <v>44593</v>
      </c>
      <c r="R11" s="30">
        <f>IF(DAY(FebSun1)=1,"",IF(AND(YEAR(FebSun1+4)=CalendarYear,MONTH(FebSun1+4)=2),FebSun1+4,""))</f>
        <v>44594</v>
      </c>
      <c r="S11" s="30">
        <f>IF(DAY(FebSun1)=1,"",IF(AND(YEAR(FebSun1+5)=CalendarYear,MONTH(FebSun1+5)=2),FebSun1+5,""))</f>
        <v>44595</v>
      </c>
      <c r="T11" s="30">
        <f>IF(DAY(FebSun1)=1,"",IF(AND(YEAR(FebSun1+6)=CalendarYear,MONTH(FebSun1+6)=2),FebSun1+6,""))</f>
        <v>44596</v>
      </c>
      <c r="U11" s="30">
        <f>IF(DAY(FebSun1)=1,IF(AND(YEAR(FebSun1)=CalendarYear,MONTH(FebSun1)=2),FebSun1,""),IF(AND(YEAR(FebSun1+7)=CalendarYear,MONTH(FebSun1+7)=2),FebSun1+7,""))</f>
        <v>44597</v>
      </c>
      <c r="V11" s="4"/>
      <c r="W11" s="30" t="str">
        <f>IF(DAY(MarSun1)=1,"",IF(AND(YEAR(MarSun1+1)=CalendarYear,MONTH(MarSun1+1)=3),MarSun1+1,""))</f>
        <v/>
      </c>
      <c r="X11" s="30" t="str">
        <f>IF(DAY(MarSun1)=1,"",IF(AND(YEAR(MarSun1+2)=CalendarYear,MONTH(MarSun1+2)=3),MarSun1+2,""))</f>
        <v/>
      </c>
      <c r="Y11" s="30">
        <f>IF(DAY(MarSun1)=1,"",IF(AND(YEAR(MarSun1+3)=CalendarYear,MONTH(MarSun1+3)=3),MarSun1+3,""))</f>
        <v>44621</v>
      </c>
      <c r="Z11" s="30">
        <f>IF(DAY(MarSun1)=1,"",IF(AND(YEAR(MarSun1+4)=CalendarYear,MONTH(MarSun1+4)=3),MarSun1+4,""))</f>
        <v>44622</v>
      </c>
      <c r="AA11" s="30">
        <f>IF(DAY(MarSun1)=1,"",IF(AND(YEAR(MarSun1+5)=CalendarYear,MONTH(MarSun1+5)=3),MarSun1+5,""))</f>
        <v>44623</v>
      </c>
      <c r="AB11" s="30">
        <f>IF(DAY(MarSun1)=1,"",IF(AND(YEAR(MarSun1+6)=CalendarYear,MONTH(MarSun1+6)=3),MarSun1+6,""))</f>
        <v>44624</v>
      </c>
      <c r="AC11" s="30">
        <f>IF(DAY(MarSun1)=1,IF(AND(YEAR(MarSun1)=CalendarYear,MONTH(MarSun1)=3),MarSun1,""),IF(AND(YEAR(MarSun1+7)=CalendarYear,MONTH(MarSun1+7)=3),MarSun1+7,""))</f>
        <v>44625</v>
      </c>
      <c r="AD11" s="5"/>
      <c r="AE11" s="30" t="str">
        <f>IF(DAY(AprSun1)=1,"",IF(AND(YEAR(AprSun1+1)=CalendarYear,MONTH(AprSun1+1)=4),AprSun1+1,""))</f>
        <v/>
      </c>
      <c r="AF11" s="30" t="str">
        <f>IF(DAY(AprSun1)=1,"",IF(AND(YEAR(AprSun1+2)=CalendarYear,MONTH(AprSun1+2)=4),AprSun1+2,""))</f>
        <v/>
      </c>
      <c r="AG11" s="30" t="str">
        <f>IF(DAY(AprSun1)=1,"",IF(AND(YEAR(AprSun1+3)=CalendarYear,MONTH(AprSun1+3)=4),AprSun1+3,""))</f>
        <v/>
      </c>
      <c r="AH11" s="30" t="str">
        <f>IF(DAY(AprSun1)=1,"",IF(AND(YEAR(AprSun1+4)=CalendarYear,MONTH(AprSun1+4)=4),AprSun1+4,""))</f>
        <v/>
      </c>
      <c r="AI11" s="30" t="str">
        <f>IF(DAY(AprSun1)=1,"",IF(AND(YEAR(AprSun1+5)=CalendarYear,MONTH(AprSun1+5)=4),AprSun1+5,""))</f>
        <v/>
      </c>
      <c r="AJ11" s="30">
        <f>IF(DAY(AprSun1)=1,"",IF(AND(YEAR(AprSun1+6)=CalendarYear,MONTH(AprSun1+6)=4),AprSun1+6,""))</f>
        <v>44652</v>
      </c>
      <c r="AK11" s="30">
        <f>IF(DAY(AprSun1)=1,IF(AND(YEAR(AprSun1)=CalendarYear,MONTH(AprSun1)=4),AprSun1,""),IF(AND(YEAR(AprSun1+7)=CalendarYear,MONTH(AprSun1+7)=4),AprSun1+7,""))</f>
        <v>44653</v>
      </c>
      <c r="AL11" s="4"/>
      <c r="AM11" s="30">
        <f>IF(DAY(MaySun1)=1,"",IF(AND(YEAR(MaySun1+1)=CalendarYear,MONTH(MaySun1+1)=5),MaySun1+1,""))</f>
        <v>44682</v>
      </c>
      <c r="AN11" s="30">
        <f>IF(DAY(MaySun1)=1,"",IF(AND(YEAR(MaySun1+2)=CalendarYear,MONTH(MaySun1+2)=5),MaySun1+2,""))</f>
        <v>44683</v>
      </c>
      <c r="AO11" s="30">
        <f>IF(DAY(MaySun1)=1,"",IF(AND(YEAR(MaySun1+3)=CalendarYear,MONTH(MaySun1+3)=5),MaySun1+3,""))</f>
        <v>44684</v>
      </c>
      <c r="AP11" s="30">
        <f>IF(DAY(MaySun1)=1,"",IF(AND(YEAR(MaySun1+4)=CalendarYear,MONTH(MaySun1+4)=5),MaySun1+4,""))</f>
        <v>44685</v>
      </c>
      <c r="AQ11" s="30">
        <f>IF(DAY(MaySun1)=1,"",IF(AND(YEAR(MaySun1+5)=CalendarYear,MONTH(MaySun1+5)=5),MaySun1+5,""))</f>
        <v>44686</v>
      </c>
      <c r="AR11" s="30">
        <f>IF(DAY(MaySun1)=1,"",IF(AND(YEAR(MaySun1+6)=CalendarYear,MONTH(MaySun1+6)=5),MaySun1+6,""))</f>
        <v>44687</v>
      </c>
      <c r="AS11" s="30">
        <f>IF(DAY(MaySun1)=1,IF(AND(YEAR(MaySun1)=CalendarYear,MONTH(MaySun1)=5),MaySun1,""),IF(AND(YEAR(MaySun1+7)=CalendarYear,MONTH(MaySun1+7)=5),MaySun1+7,""))</f>
        <v>44688</v>
      </c>
      <c r="AT11" s="20"/>
      <c r="AU11" s="30" t="str">
        <f>IF(DAY(JunSun1)=1,"",IF(AND(YEAR(JunSun1+1)=CalendarYear,MONTH(JunSun1+1)=6),JunSun1+1,""))</f>
        <v/>
      </c>
      <c r="AV11" s="30" t="str">
        <f>IF(DAY(JunSun1)=1,"",IF(AND(YEAR(JunSun1+2)=CalendarYear,MONTH(JunSun1+2)=6),JunSun1+2,""))</f>
        <v/>
      </c>
      <c r="AW11" s="30" t="str">
        <f>IF(DAY(JunSun1)=1,"",IF(AND(YEAR(JunSun1+3)=CalendarYear,MONTH(JunSun1+3)=6),JunSun1+3,""))</f>
        <v/>
      </c>
      <c r="AX11" s="30">
        <f>IF(DAY(JunSun1)=1,"",IF(AND(YEAR(JunSun1+4)=CalendarYear,MONTH(JunSun1+4)=6),JunSun1+4,""))</f>
        <v>44713</v>
      </c>
      <c r="AY11" s="30">
        <f>IF(DAY(JunSun1)=1,"",IF(AND(YEAR(JunSun1+5)=CalendarYear,MONTH(JunSun1+5)=6),JunSun1+5,""))</f>
        <v>44714</v>
      </c>
      <c r="AZ11" s="30">
        <f>IF(DAY(JunSun1)=1,"",IF(AND(YEAR(JunSun1+6)=CalendarYear,MONTH(JunSun1+6)=6),JunSun1+6,""))</f>
        <v>44715</v>
      </c>
      <c r="BA11" s="34">
        <f>IF(DAY(JunSun1)=1,IF(AND(YEAR(JunSun1)=CalendarYear,MONTH(JunSun1)=6),JunSun1,""),IF(AND(YEAR(JunSun1+7)=CalendarYear,MONTH(JunSun1+7)=6),JunSun1+7,""))</f>
        <v>44716</v>
      </c>
    </row>
    <row r="12" spans="1:53" x14ac:dyDescent="0.25">
      <c r="B12" t="s">
        <v>0</v>
      </c>
      <c r="C12" t="s">
        <v>17</v>
      </c>
      <c r="E12" s="1">
        <f ca="1">TODAY()</f>
        <v>44958</v>
      </c>
      <c r="G12" s="31">
        <f>IF(DAY(JanSun1)=1,IF(AND(YEAR(JanSun1+1)=CalendarYear,MONTH(JanSun1+1)=1),JanSun1+1,""),IF(AND(YEAR(JanSun1+8)=CalendarYear,MONTH(JanSun1+8)=1),JanSun1+8,""))</f>
        <v>44563</v>
      </c>
      <c r="H12" s="30">
        <f>IF(DAY(JanSun1)=1,IF(AND(YEAR(JanSun1+2)=CalendarYear,MONTH(JanSun1+2)=1),JanSun1+2,""),IF(AND(YEAR(JanSun1+9)=CalendarYear,MONTH(JanSun1+9)=1),JanSun1+9,""))</f>
        <v>44564</v>
      </c>
      <c r="I12" s="30">
        <f>IF(DAY(JanSun1)=1,IF(AND(YEAR(JanSun1+3)=CalendarYear,MONTH(JanSun1+3)=1),JanSun1+3,""),IF(AND(YEAR(JanSun1+10)=CalendarYear,MONTH(JanSun1+10)=1),JanSun1+10,""))</f>
        <v>44565</v>
      </c>
      <c r="J12" s="30">
        <f>IF(DAY(JanSun1)=1,IF(AND(YEAR(JanSun1+4)=CalendarYear,MONTH(JanSun1+4)=1),JanSun1+4,""),IF(AND(YEAR(JanSun1+11)=CalendarYear,MONTH(JanSun1+11)=1),JanSun1+11,""))</f>
        <v>44566</v>
      </c>
      <c r="K12" s="30">
        <f>IF(DAY(JanSun1)=1,IF(AND(YEAR(JanSun1+5)=CalendarYear,MONTH(JanSun1+5)=1),JanSun1+5,""),IF(AND(YEAR(JanSun1+12)=CalendarYear,MONTH(JanSun1+12)=1),JanSun1+12,""))</f>
        <v>44567</v>
      </c>
      <c r="L12" s="30">
        <f>IF(DAY(JanSun1)=1,IF(AND(YEAR(JanSun1+6)=CalendarYear,MONTH(JanSun1+6)=1),JanSun1+6,""),IF(AND(YEAR(JanSun1+13)=CalendarYear,MONTH(JanSun1+13)=1),JanSun1+13,""))</f>
        <v>44568</v>
      </c>
      <c r="M12" s="30">
        <f>IF(DAY(JanSun1)=1,IF(AND(YEAR(JanSun1+7)=CalendarYear,MONTH(JanSun1+7)=1),JanSun1+7,""),IF(AND(YEAR(JanSun1+14)=CalendarYear,MONTH(JanSun1+14)=1),JanSun1+14,""))</f>
        <v>44569</v>
      </c>
      <c r="N12" s="8"/>
      <c r="O12" s="30">
        <f>IF(DAY(FebSun1)=1,IF(AND(YEAR(FebSun1+1)=CalendarYear,MONTH(FebSun1+1)=2),FebSun1+1,""),IF(AND(YEAR(FebSun1+8)=CalendarYear,MONTH(FebSun1+8)=2),FebSun1+8,""))</f>
        <v>44598</v>
      </c>
      <c r="P12" s="30">
        <f>IF(DAY(FebSun1)=1,IF(AND(YEAR(FebSun1+2)=CalendarYear,MONTH(FebSun1+2)=2),FebSun1+2,""),IF(AND(YEAR(FebSun1+9)=CalendarYear,MONTH(FebSun1+9)=2),FebSun1+9,""))</f>
        <v>44599</v>
      </c>
      <c r="Q12" s="30">
        <f>IF(DAY(FebSun1)=1,IF(AND(YEAR(FebSun1+3)=CalendarYear,MONTH(FebSun1+3)=2),FebSun1+3,""),IF(AND(YEAR(FebSun1+10)=CalendarYear,MONTH(FebSun1+10)=2),FebSun1+10,""))</f>
        <v>44600</v>
      </c>
      <c r="R12" s="30">
        <f>IF(DAY(FebSun1)=1,IF(AND(YEAR(FebSun1+4)=CalendarYear,MONTH(FebSun1+4)=2),FebSun1+4,""),IF(AND(YEAR(FebSun1+11)=CalendarYear,MONTH(FebSun1+11)=2),FebSun1+11,""))</f>
        <v>44601</v>
      </c>
      <c r="S12" s="30">
        <f>IF(DAY(FebSun1)=1,IF(AND(YEAR(FebSun1+5)=CalendarYear,MONTH(FebSun1+5)=2),FebSun1+5,""),IF(AND(YEAR(FebSun1+12)=CalendarYear,MONTH(FebSun1+12)=2),FebSun1+12,""))</f>
        <v>44602</v>
      </c>
      <c r="T12" s="30">
        <f>IF(DAY(FebSun1)=1,IF(AND(YEAR(FebSun1+6)=CalendarYear,MONTH(FebSun1+6)=2),FebSun1+6,""),IF(AND(YEAR(FebSun1+13)=CalendarYear,MONTH(FebSun1+13)=2),FebSun1+13,""))</f>
        <v>44603</v>
      </c>
      <c r="U12" s="30">
        <f>IF(DAY(FebSun1)=1,IF(AND(YEAR(FebSun1+7)=CalendarYear,MONTH(FebSun1+7)=2),FebSun1+7,""),IF(AND(YEAR(FebSun1+14)=CalendarYear,MONTH(FebSun1+14)=2),FebSun1+14,""))</f>
        <v>44604</v>
      </c>
      <c r="V12" s="4"/>
      <c r="W12" s="30">
        <f>IF(DAY(MarSun1)=1,IF(AND(YEAR(MarSun1+1)=CalendarYear,MONTH(MarSun1+1)=3),MarSun1+1,""),IF(AND(YEAR(MarSun1+8)=CalendarYear,MONTH(MarSun1+8)=3),MarSun1+8,""))</f>
        <v>44626</v>
      </c>
      <c r="X12" s="30">
        <f>IF(DAY(MarSun1)=1,IF(AND(YEAR(MarSun1+2)=CalendarYear,MONTH(MarSun1+2)=3),MarSun1+2,""),IF(AND(YEAR(MarSun1+9)=CalendarYear,MONTH(MarSun1+9)=3),MarSun1+9,""))</f>
        <v>44627</v>
      </c>
      <c r="Y12" s="30">
        <f>IF(DAY(MarSun1)=1,IF(AND(YEAR(MarSun1+3)=CalendarYear,MONTH(MarSun1+3)=3),MarSun1+3,""),IF(AND(YEAR(MarSun1+10)=CalendarYear,MONTH(MarSun1+10)=3),MarSun1+10,""))</f>
        <v>44628</v>
      </c>
      <c r="Z12" s="30">
        <f>IF(DAY(MarSun1)=1,IF(AND(YEAR(MarSun1+4)=CalendarYear,MONTH(MarSun1+4)=3),MarSun1+4,""),IF(AND(YEAR(MarSun1+11)=CalendarYear,MONTH(MarSun1+11)=3),MarSun1+11,""))</f>
        <v>44629</v>
      </c>
      <c r="AA12" s="30">
        <f>IF(DAY(MarSun1)=1,IF(AND(YEAR(MarSun1+5)=CalendarYear,MONTH(MarSun1+5)=3),MarSun1+5,""),IF(AND(YEAR(MarSun1+12)=CalendarYear,MONTH(MarSun1+12)=3),MarSun1+12,""))</f>
        <v>44630</v>
      </c>
      <c r="AB12" s="30">
        <f>IF(DAY(MarSun1)=1,IF(AND(YEAR(MarSun1+6)=CalendarYear,MONTH(MarSun1+6)=3),MarSun1+6,""),IF(AND(YEAR(MarSun1+13)=CalendarYear,MONTH(MarSun1+13)=3),MarSun1+13,""))</f>
        <v>44631</v>
      </c>
      <c r="AC12" s="30">
        <f>IF(DAY(MarSun1)=1,IF(AND(YEAR(MarSun1+7)=CalendarYear,MONTH(MarSun1+7)=3),MarSun1+7,""),IF(AND(YEAR(MarSun1+14)=CalendarYear,MONTH(MarSun1+14)=3),MarSun1+14,""))</f>
        <v>44632</v>
      </c>
      <c r="AD12" s="7"/>
      <c r="AE12" s="30">
        <f>IF(DAY(AprSun1)=1,IF(AND(YEAR(AprSun1+1)=CalendarYear,MONTH(AprSun1+1)=4),AprSun1+1,""),IF(AND(YEAR(AprSun1+8)=CalendarYear,MONTH(AprSun1+8)=4),AprSun1+8,""))</f>
        <v>44654</v>
      </c>
      <c r="AF12" s="30">
        <f>IF(DAY(AprSun1)=1,IF(AND(YEAR(AprSun1+2)=CalendarYear,MONTH(AprSun1+2)=4),AprSun1+2,""),IF(AND(YEAR(AprSun1+9)=CalendarYear,MONTH(AprSun1+9)=4),AprSun1+9,""))</f>
        <v>44655</v>
      </c>
      <c r="AG12" s="30">
        <f>IF(DAY(AprSun1)=1,IF(AND(YEAR(AprSun1+3)=CalendarYear,MONTH(AprSun1+3)=4),AprSun1+3,""),IF(AND(YEAR(AprSun1+10)=CalendarYear,MONTH(AprSun1+10)=4),AprSun1+10,""))</f>
        <v>44656</v>
      </c>
      <c r="AH12" s="30">
        <f>IF(DAY(AprSun1)=1,IF(AND(YEAR(AprSun1+4)=CalendarYear,MONTH(AprSun1+4)=4),AprSun1+4,""),IF(AND(YEAR(AprSun1+11)=CalendarYear,MONTH(AprSun1+11)=4),AprSun1+11,""))</f>
        <v>44657</v>
      </c>
      <c r="AI12" s="30">
        <f>IF(DAY(AprSun1)=1,IF(AND(YEAR(AprSun1+5)=CalendarYear,MONTH(AprSun1+5)=4),AprSun1+5,""),IF(AND(YEAR(AprSun1+12)=CalendarYear,MONTH(AprSun1+12)=4),AprSun1+12,""))</f>
        <v>44658</v>
      </c>
      <c r="AJ12" s="30">
        <f>IF(DAY(AprSun1)=1,IF(AND(YEAR(AprSun1+6)=CalendarYear,MONTH(AprSun1+6)=4),AprSun1+6,""),IF(AND(YEAR(AprSun1+13)=CalendarYear,MONTH(AprSun1+13)=4),AprSun1+13,""))</f>
        <v>44659</v>
      </c>
      <c r="AK12" s="30">
        <f>IF(DAY(AprSun1)=1,IF(AND(YEAR(AprSun1+7)=CalendarYear,MONTH(AprSun1+7)=4),AprSun1+7,""),IF(AND(YEAR(AprSun1+14)=CalendarYear,MONTH(AprSun1+14)=4),AprSun1+14,""))</f>
        <v>44660</v>
      </c>
      <c r="AL12" s="4"/>
      <c r="AM12" s="30">
        <f>IF(DAY(MaySun1)=1,IF(AND(YEAR(MaySun1+1)=CalendarYear,MONTH(MaySun1+1)=5),MaySun1+1,""),IF(AND(YEAR(MaySun1+8)=CalendarYear,MONTH(MaySun1+8)=5),MaySun1+8,""))</f>
        <v>44689</v>
      </c>
      <c r="AN12" s="30">
        <f>IF(DAY(MaySun1)=1,IF(AND(YEAR(MaySun1+2)=CalendarYear,MONTH(MaySun1+2)=5),MaySun1+2,""),IF(AND(YEAR(MaySun1+9)=CalendarYear,MONTH(MaySun1+9)=5),MaySun1+9,""))</f>
        <v>44690</v>
      </c>
      <c r="AO12" s="30">
        <f>IF(DAY(MaySun1)=1,IF(AND(YEAR(MaySun1+3)=CalendarYear,MONTH(MaySun1+3)=5),MaySun1+3,""),IF(AND(YEAR(MaySun1+10)=CalendarYear,MONTH(MaySun1+10)=5),MaySun1+10,""))</f>
        <v>44691</v>
      </c>
      <c r="AP12" s="30">
        <f>IF(DAY(MaySun1)=1,IF(AND(YEAR(MaySun1+4)=CalendarYear,MONTH(MaySun1+4)=5),MaySun1+4,""),IF(AND(YEAR(MaySun1+11)=CalendarYear,MONTH(MaySun1+11)=5),MaySun1+11,""))</f>
        <v>44692</v>
      </c>
      <c r="AQ12" s="30">
        <f>IF(DAY(MaySun1)=1,IF(AND(YEAR(MaySun1+5)=CalendarYear,MONTH(MaySun1+5)=5),MaySun1+5,""),IF(AND(YEAR(MaySun1+12)=CalendarYear,MONTH(MaySun1+12)=5),MaySun1+12,""))</f>
        <v>44693</v>
      </c>
      <c r="AR12" s="30">
        <f>IF(DAY(MaySun1)=1,IF(AND(YEAR(MaySun1+6)=CalendarYear,MONTH(MaySun1+6)=5),MaySun1+6,""),IF(AND(YEAR(MaySun1+13)=CalendarYear,MONTH(MaySun1+13)=5),MaySun1+13,""))</f>
        <v>44694</v>
      </c>
      <c r="AS12" s="30">
        <f>IF(DAY(MaySun1)=1,IF(AND(YEAR(MaySun1+7)=CalendarYear,MONTH(MaySun1+7)=5),MaySun1+7,""),IF(AND(YEAR(MaySun1+14)=CalendarYear,MONTH(MaySun1+14)=5),MaySun1+14,""))</f>
        <v>44695</v>
      </c>
      <c r="AT12" s="20"/>
      <c r="AU12" s="30">
        <f>IF(DAY(JunSun1)=1,IF(AND(YEAR(JunSun1+1)=CalendarYear,MONTH(JunSun1+1)=6),JunSun1+1,""),IF(AND(YEAR(JunSun1+8)=CalendarYear,MONTH(JunSun1+8)=6),JunSun1+8,""))</f>
        <v>44717</v>
      </c>
      <c r="AV12" s="30">
        <f>IF(DAY(JunSun1)=1,IF(AND(YEAR(JunSun1+2)=CalendarYear,MONTH(JunSun1+2)=6),JunSun1+2,""),IF(AND(YEAR(JunSun1+9)=CalendarYear,MONTH(JunSun1+9)=6),JunSun1+9,""))</f>
        <v>44718</v>
      </c>
      <c r="AW12" s="30">
        <f>IF(DAY(JunSun1)=1,IF(AND(YEAR(JunSun1+3)=CalendarYear,MONTH(JunSun1+3)=6),JunSun1+3,""),IF(AND(YEAR(JunSun1+10)=CalendarYear,MONTH(JunSun1+10)=6),JunSun1+10,""))</f>
        <v>44719</v>
      </c>
      <c r="AX12" s="30">
        <f>IF(DAY(JunSun1)=1,IF(AND(YEAR(JunSun1+4)=CalendarYear,MONTH(JunSun1+4)=6),JunSun1+4,""),IF(AND(YEAR(JunSun1+11)=CalendarYear,MONTH(JunSun1+11)=6),JunSun1+11,""))</f>
        <v>44720</v>
      </c>
      <c r="AY12" s="30">
        <f>IF(DAY(JunSun1)=1,IF(AND(YEAR(JunSun1+5)=CalendarYear,MONTH(JunSun1+5)=6),JunSun1+5,""),IF(AND(YEAR(JunSun1+12)=CalendarYear,MONTH(JunSun1+12)=6),JunSun1+12,""))</f>
        <v>44721</v>
      </c>
      <c r="AZ12" s="30">
        <f>IF(DAY(JunSun1)=1,IF(AND(YEAR(JunSun1+6)=CalendarYear,MONTH(JunSun1+6)=6),JunSun1+6,""),IF(AND(YEAR(JunSun1+13)=CalendarYear,MONTH(JunSun1+13)=6),JunSun1+13,""))</f>
        <v>44722</v>
      </c>
      <c r="BA12" s="34">
        <f>IF(DAY(JunSun1)=1,IF(AND(YEAR(JunSun1+7)=CalendarYear,MONTH(JunSun1+7)=6),JunSun1+7,""),IF(AND(YEAR(JunSun1+14)=CalendarYear,MONTH(JunSun1+14)=6),JunSun1+14,""))</f>
        <v>44723</v>
      </c>
    </row>
    <row r="13" spans="1:53" x14ac:dyDescent="0.25">
      <c r="B13" s="13" t="s">
        <v>18</v>
      </c>
      <c r="C13" s="44">
        <f>WORKDAY(C9,-Variables!$B$2,'Holidays Dont Touch'!$B$3:$L$35)</f>
        <v>44811</v>
      </c>
      <c r="D13" s="14"/>
      <c r="G13" s="31">
        <f>IF(DAY(JanSun1)=1,IF(AND(YEAR(JanSun1+8)=CalendarYear,MONTH(JanSun1+8)=1),JanSun1+8,""),IF(AND(YEAR(JanSun1+15)=CalendarYear,MONTH(JanSun1+15)=1),JanSun1+15,""))</f>
        <v>44570</v>
      </c>
      <c r="H13" s="30">
        <f>IF(DAY(JanSun1)=1,IF(AND(YEAR(JanSun1+9)=CalendarYear,MONTH(JanSun1+9)=1),JanSun1+9,""),IF(AND(YEAR(JanSun1+16)=CalendarYear,MONTH(JanSun1+16)=1),JanSun1+16,""))</f>
        <v>44571</v>
      </c>
      <c r="I13" s="30">
        <f>IF(DAY(JanSun1)=1,IF(AND(YEAR(JanSun1+10)=CalendarYear,MONTH(JanSun1+10)=1),JanSun1+10,""),IF(AND(YEAR(JanSun1+17)=CalendarYear,MONTH(JanSun1+17)=1),JanSun1+17,""))</f>
        <v>44572</v>
      </c>
      <c r="J13" s="30">
        <f>IF(DAY(JanSun1)=1,IF(AND(YEAR(JanSun1+11)=CalendarYear,MONTH(JanSun1+11)=1),JanSun1+11,""),IF(AND(YEAR(JanSun1+18)=CalendarYear,MONTH(JanSun1+18)=1),JanSun1+18,""))</f>
        <v>44573</v>
      </c>
      <c r="K13" s="30">
        <f>IF(DAY(JanSun1)=1,IF(AND(YEAR(JanSun1+12)=CalendarYear,MONTH(JanSun1+12)=1),JanSun1+12,""),IF(AND(YEAR(JanSun1+19)=CalendarYear,MONTH(JanSun1+19)=1),JanSun1+19,""))</f>
        <v>44574</v>
      </c>
      <c r="L13" s="30">
        <f>IF(DAY(JanSun1)=1,IF(AND(YEAR(JanSun1+13)=CalendarYear,MONTH(JanSun1+13)=1),JanSun1+13,""),IF(AND(YEAR(JanSun1+20)=CalendarYear,MONTH(JanSun1+20)=1),JanSun1+20,""))</f>
        <v>44575</v>
      </c>
      <c r="M13" s="30">
        <f>IF(DAY(JanSun1)=1,IF(AND(YEAR(JanSun1+14)=CalendarYear,MONTH(JanSun1+14)=1),JanSun1+14,""),IF(AND(YEAR(JanSun1+21)=CalendarYear,MONTH(JanSun1+21)=1),JanSun1+21,""))</f>
        <v>44576</v>
      </c>
      <c r="N13" s="8"/>
      <c r="O13" s="30">
        <f>IF(DAY(FebSun1)=1,IF(AND(YEAR(FebSun1+8)=CalendarYear,MONTH(FebSun1+8)=2),FebSun1+8,""),IF(AND(YEAR(FebSun1+15)=CalendarYear,MONTH(FebSun1+15)=2),FebSun1+15,""))</f>
        <v>44605</v>
      </c>
      <c r="P13" s="30">
        <f>IF(DAY(FebSun1)=1,IF(AND(YEAR(FebSun1+9)=CalendarYear,MONTH(FebSun1+9)=2),FebSun1+9,""),IF(AND(YEAR(FebSun1+16)=CalendarYear,MONTH(FebSun1+16)=2),FebSun1+16,""))</f>
        <v>44606</v>
      </c>
      <c r="Q13" s="30">
        <f>IF(DAY(FebSun1)=1,IF(AND(YEAR(FebSun1+10)=CalendarYear,MONTH(FebSun1+10)=2),FebSun1+10,""),IF(AND(YEAR(FebSun1+17)=CalendarYear,MONTH(FebSun1+17)=2),FebSun1+17,""))</f>
        <v>44607</v>
      </c>
      <c r="R13" s="30">
        <f>IF(DAY(FebSun1)=1,IF(AND(YEAR(FebSun1+11)=CalendarYear,MONTH(FebSun1+11)=2),FebSun1+11,""),IF(AND(YEAR(FebSun1+18)=CalendarYear,MONTH(FebSun1+18)=2),FebSun1+18,""))</f>
        <v>44608</v>
      </c>
      <c r="S13" s="30">
        <f>IF(DAY(FebSun1)=1,IF(AND(YEAR(FebSun1+12)=CalendarYear,MONTH(FebSun1+12)=2),FebSun1+12,""),IF(AND(YEAR(FebSun1+19)=CalendarYear,MONTH(FebSun1+19)=2),FebSun1+19,""))</f>
        <v>44609</v>
      </c>
      <c r="T13" s="30">
        <f>IF(DAY(FebSun1)=1,IF(AND(YEAR(FebSun1+13)=CalendarYear,MONTH(FebSun1+13)=2),FebSun1+13,""),IF(AND(YEAR(FebSun1+20)=CalendarYear,MONTH(FebSun1+20)=2),FebSun1+20,""))</f>
        <v>44610</v>
      </c>
      <c r="U13" s="30">
        <f>IF(DAY(FebSun1)=1,IF(AND(YEAR(FebSun1+14)=CalendarYear,MONTH(FebSun1+14)=2),FebSun1+14,""),IF(AND(YEAR(FebSun1+21)=CalendarYear,MONTH(FebSun1+21)=2),FebSun1+21,""))</f>
        <v>44611</v>
      </c>
      <c r="V13" s="4"/>
      <c r="W13" s="30">
        <f>IF(DAY(MarSun1)=1,IF(AND(YEAR(MarSun1+8)=CalendarYear,MONTH(MarSun1+8)=3),MarSun1+8,""),IF(AND(YEAR(MarSun1+15)=CalendarYear,MONTH(MarSun1+15)=3),MarSun1+15,""))</f>
        <v>44633</v>
      </c>
      <c r="X13" s="30">
        <f>IF(DAY(MarSun1)=1,IF(AND(YEAR(MarSun1+9)=CalendarYear,MONTH(MarSun1+9)=3),MarSun1+9,""),IF(AND(YEAR(MarSun1+16)=CalendarYear,MONTH(MarSun1+16)=3),MarSun1+16,""))</f>
        <v>44634</v>
      </c>
      <c r="Y13" s="30">
        <f>IF(DAY(MarSun1)=1,IF(AND(YEAR(MarSun1+10)=CalendarYear,MONTH(MarSun1+10)=3),MarSun1+10,""),IF(AND(YEAR(MarSun1+17)=CalendarYear,MONTH(MarSun1+17)=3),MarSun1+17,""))</f>
        <v>44635</v>
      </c>
      <c r="Z13" s="30">
        <f>IF(DAY(MarSun1)=1,IF(AND(YEAR(MarSun1+11)=CalendarYear,MONTH(MarSun1+11)=3),MarSun1+11,""),IF(AND(YEAR(MarSun1+18)=CalendarYear,MONTH(MarSun1+18)=3),MarSun1+18,""))</f>
        <v>44636</v>
      </c>
      <c r="AA13" s="30">
        <f>IF(DAY(MarSun1)=1,IF(AND(YEAR(MarSun1+12)=CalendarYear,MONTH(MarSun1+12)=3),MarSun1+12,""),IF(AND(YEAR(MarSun1+19)=CalendarYear,MONTH(MarSun1+19)=3),MarSun1+19,""))</f>
        <v>44637</v>
      </c>
      <c r="AB13" s="30">
        <f>IF(DAY(MarSun1)=1,IF(AND(YEAR(MarSun1+13)=CalendarYear,MONTH(MarSun1+13)=3),MarSun1+13,""),IF(AND(YEAR(MarSun1+20)=CalendarYear,MONTH(MarSun1+20)=3),MarSun1+20,""))</f>
        <v>44638</v>
      </c>
      <c r="AC13" s="30">
        <f>IF(DAY(MarSun1)=1,IF(AND(YEAR(MarSun1+14)=CalendarYear,MONTH(MarSun1+14)=3),MarSun1+14,""),IF(AND(YEAR(MarSun1+21)=CalendarYear,MONTH(MarSun1+21)=3),MarSun1+21,""))</f>
        <v>44639</v>
      </c>
      <c r="AD13" s="8"/>
      <c r="AE13" s="30">
        <f>IF(DAY(AprSun1)=1,IF(AND(YEAR(AprSun1+8)=CalendarYear,MONTH(AprSun1+8)=4),AprSun1+8,""),IF(AND(YEAR(AprSun1+15)=CalendarYear,MONTH(AprSun1+15)=4),AprSun1+15,""))</f>
        <v>44661</v>
      </c>
      <c r="AF13" s="30">
        <f>IF(DAY(AprSun1)=1,IF(AND(YEAR(AprSun1+9)=CalendarYear,MONTH(AprSun1+9)=4),AprSun1+9,""),IF(AND(YEAR(AprSun1+16)=CalendarYear,MONTH(AprSun1+16)=4),AprSun1+16,""))</f>
        <v>44662</v>
      </c>
      <c r="AG13" s="30">
        <f>IF(DAY(AprSun1)=1,IF(AND(YEAR(AprSun1+10)=CalendarYear,MONTH(AprSun1+10)=4),AprSun1+10,""),IF(AND(YEAR(AprSun1+17)=CalendarYear,MONTH(AprSun1+17)=4),AprSun1+17,""))</f>
        <v>44663</v>
      </c>
      <c r="AH13" s="30">
        <f>IF(DAY(AprSun1)=1,IF(AND(YEAR(AprSun1+11)=CalendarYear,MONTH(AprSun1+11)=4),AprSun1+11,""),IF(AND(YEAR(AprSun1+18)=CalendarYear,MONTH(AprSun1+18)=4),AprSun1+18,""))</f>
        <v>44664</v>
      </c>
      <c r="AI13" s="30">
        <f>IF(DAY(AprSun1)=1,IF(AND(YEAR(AprSun1+12)=CalendarYear,MONTH(AprSun1+12)=4),AprSun1+12,""),IF(AND(YEAR(AprSun1+19)=CalendarYear,MONTH(AprSun1+19)=4),AprSun1+19,""))</f>
        <v>44665</v>
      </c>
      <c r="AJ13" s="30">
        <f>IF(DAY(AprSun1)=1,IF(AND(YEAR(AprSun1+13)=CalendarYear,MONTH(AprSun1+13)=4),AprSun1+13,""),IF(AND(YEAR(AprSun1+20)=CalendarYear,MONTH(AprSun1+20)=4),AprSun1+20,""))</f>
        <v>44666</v>
      </c>
      <c r="AK13" s="30">
        <f>IF(DAY(AprSun1)=1,IF(AND(YEAR(AprSun1+14)=CalendarYear,MONTH(AprSun1+14)=4),AprSun1+14,""),IF(AND(YEAR(AprSun1+21)=CalendarYear,MONTH(AprSun1+21)=4),AprSun1+21,""))</f>
        <v>44667</v>
      </c>
      <c r="AL13" s="4"/>
      <c r="AM13" s="30">
        <f>IF(DAY(MaySun1)=1,IF(AND(YEAR(MaySun1+8)=CalendarYear,MONTH(MaySun1+8)=5),MaySun1+8,""),IF(AND(YEAR(MaySun1+15)=CalendarYear,MONTH(MaySun1+15)=5),MaySun1+15,""))</f>
        <v>44696</v>
      </c>
      <c r="AN13" s="30">
        <f>IF(DAY(MaySun1)=1,IF(AND(YEAR(MaySun1+9)=CalendarYear,MONTH(MaySun1+9)=5),MaySun1+9,""),IF(AND(YEAR(MaySun1+16)=CalendarYear,MONTH(MaySun1+16)=5),MaySun1+16,""))</f>
        <v>44697</v>
      </c>
      <c r="AO13" s="30">
        <f>IF(DAY(MaySun1)=1,IF(AND(YEAR(MaySun1+10)=CalendarYear,MONTH(MaySun1+10)=5),MaySun1+10,""),IF(AND(YEAR(MaySun1+17)=CalendarYear,MONTH(MaySun1+17)=5),MaySun1+17,""))</f>
        <v>44698</v>
      </c>
      <c r="AP13" s="30">
        <f>IF(DAY(MaySun1)=1,IF(AND(YEAR(MaySun1+11)=CalendarYear,MONTH(MaySun1+11)=5),MaySun1+11,""),IF(AND(YEAR(MaySun1+18)=CalendarYear,MONTH(MaySun1+18)=5),MaySun1+18,""))</f>
        <v>44699</v>
      </c>
      <c r="AQ13" s="30">
        <f>IF(DAY(MaySun1)=1,IF(AND(YEAR(MaySun1+12)=CalendarYear,MONTH(MaySun1+12)=5),MaySun1+12,""),IF(AND(YEAR(MaySun1+19)=CalendarYear,MONTH(MaySun1+19)=5),MaySun1+19,""))</f>
        <v>44700</v>
      </c>
      <c r="AR13" s="30">
        <f>IF(DAY(MaySun1)=1,IF(AND(YEAR(MaySun1+13)=CalendarYear,MONTH(MaySun1+13)=5),MaySun1+13,""),IF(AND(YEAR(MaySun1+20)=CalendarYear,MONTH(MaySun1+20)=5),MaySun1+20,""))</f>
        <v>44701</v>
      </c>
      <c r="AS13" s="30">
        <f>IF(DAY(MaySun1)=1,IF(AND(YEAR(MaySun1+14)=CalendarYear,MONTH(MaySun1+14)=5),MaySun1+14,""),IF(AND(YEAR(MaySun1+21)=CalendarYear,MONTH(MaySun1+21)=5),MaySun1+21,""))</f>
        <v>44702</v>
      </c>
      <c r="AT13" s="20"/>
      <c r="AU13" s="30">
        <f>IF(DAY(JunSun1)=1,IF(AND(YEAR(JunSun1+8)=CalendarYear,MONTH(JunSun1+8)=6),JunSun1+8,""),IF(AND(YEAR(JunSun1+15)=CalendarYear,MONTH(JunSun1+15)=6),JunSun1+15,""))</f>
        <v>44724</v>
      </c>
      <c r="AV13" s="30">
        <f>IF(DAY(JunSun1)=1,IF(AND(YEAR(JunSun1+9)=CalendarYear,MONTH(JunSun1+9)=6),JunSun1+9,""),IF(AND(YEAR(JunSun1+16)=CalendarYear,MONTH(JunSun1+16)=6),JunSun1+16,""))</f>
        <v>44725</v>
      </c>
      <c r="AW13" s="30">
        <f>IF(DAY(JunSun1)=1,IF(AND(YEAR(JunSun1+10)=CalendarYear,MONTH(JunSun1+10)=6),JunSun1+10,""),IF(AND(YEAR(JunSun1+17)=CalendarYear,MONTH(JunSun1+17)=6),JunSun1+17,""))</f>
        <v>44726</v>
      </c>
      <c r="AX13" s="30">
        <f>IF(DAY(JunSun1)=1,IF(AND(YEAR(JunSun1+11)=CalendarYear,MONTH(JunSun1+11)=6),JunSun1+11,""),IF(AND(YEAR(JunSun1+18)=CalendarYear,MONTH(JunSun1+18)=6),JunSun1+18,""))</f>
        <v>44727</v>
      </c>
      <c r="AY13" s="30">
        <f>IF(DAY(JunSun1)=1,IF(AND(YEAR(JunSun1+12)=CalendarYear,MONTH(JunSun1+12)=6),JunSun1+12,""),IF(AND(YEAR(JunSun1+19)=CalendarYear,MONTH(JunSun1+19)=6),JunSun1+19,""))</f>
        <v>44728</v>
      </c>
      <c r="AZ13" s="30">
        <f>IF(DAY(JunSun1)=1,IF(AND(YEAR(JunSun1+13)=CalendarYear,MONTH(JunSun1+13)=6),JunSun1+13,""),IF(AND(YEAR(JunSun1+20)=CalendarYear,MONTH(JunSun1+20)=6),JunSun1+20,""))</f>
        <v>44729</v>
      </c>
      <c r="BA13" s="34">
        <f>IF(DAY(JunSun1)=1,IF(AND(YEAR(JunSun1+14)=CalendarYear,MONTH(JunSun1+14)=6),JunSun1+14,""),IF(AND(YEAR(JunSun1+21)=CalendarYear,MONTH(JunSun1+21)=6),JunSun1+21,""))</f>
        <v>44730</v>
      </c>
    </row>
    <row r="14" spans="1:53" x14ac:dyDescent="0.25">
      <c r="B14" s="18" t="s">
        <v>19</v>
      </c>
      <c r="C14" s="44">
        <f>WORKDAY(C13,Variables!$B3,'Holidays Dont Touch'!$B$3:$L$35)</f>
        <v>44846</v>
      </c>
      <c r="D14" s="14"/>
      <c r="G14" s="31">
        <f>IF(DAY(JanSun1)=1,IF(AND(YEAR(JanSun1+15)=CalendarYear,MONTH(JanSun1+15)=1),JanSun1+15,""),IF(AND(YEAR(JanSun1+22)=CalendarYear,MONTH(JanSun1+22)=1),JanSun1+22,""))</f>
        <v>44577</v>
      </c>
      <c r="H14" s="30">
        <f>IF(DAY(JanSun1)=1,IF(AND(YEAR(JanSun1+16)=CalendarYear,MONTH(JanSun1+16)=1),JanSun1+16,""),IF(AND(YEAR(JanSun1+23)=CalendarYear,MONTH(JanSun1+23)=1),JanSun1+23,""))</f>
        <v>44578</v>
      </c>
      <c r="I14" s="30">
        <f>IF(DAY(JanSun1)=1,IF(AND(YEAR(JanSun1+17)=CalendarYear,MONTH(JanSun1+17)=1),JanSun1+17,""),IF(AND(YEAR(JanSun1+24)=CalendarYear,MONTH(JanSun1+24)=1),JanSun1+24,""))</f>
        <v>44579</v>
      </c>
      <c r="J14" s="30">
        <f>IF(DAY(JanSun1)=1,IF(AND(YEAR(JanSun1+18)=CalendarYear,MONTH(JanSun1+18)=1),JanSun1+18,""),IF(AND(YEAR(JanSun1+25)=CalendarYear,MONTH(JanSun1+25)=1),JanSun1+25,""))</f>
        <v>44580</v>
      </c>
      <c r="K14" s="30">
        <f>IF(DAY(JanSun1)=1,IF(AND(YEAR(JanSun1+19)=CalendarYear,MONTH(JanSun1+19)=1),JanSun1+19,""),IF(AND(YEAR(JanSun1+26)=CalendarYear,MONTH(JanSun1+26)=1),JanSun1+26,""))</f>
        <v>44581</v>
      </c>
      <c r="L14" s="30">
        <f>IF(DAY(JanSun1)=1,IF(AND(YEAR(JanSun1+20)=CalendarYear,MONTH(JanSun1+20)=1),JanSun1+20,""),IF(AND(YEAR(JanSun1+27)=CalendarYear,MONTH(JanSun1+27)=1),JanSun1+27,""))</f>
        <v>44582</v>
      </c>
      <c r="M14" s="30">
        <f>IF(DAY(JanSun1)=1,IF(AND(YEAR(JanSun1+21)=CalendarYear,MONTH(JanSun1+21)=1),JanSun1+21,""),IF(AND(YEAR(JanSun1+28)=CalendarYear,MONTH(JanSun1+28)=1),JanSun1+28,""))</f>
        <v>44583</v>
      </c>
      <c r="N14" s="8"/>
      <c r="O14" s="30">
        <f>IF(DAY(FebSun1)=1,IF(AND(YEAR(FebSun1+15)=CalendarYear,MONTH(FebSun1+15)=2),FebSun1+15,""),IF(AND(YEAR(FebSun1+22)=CalendarYear,MONTH(FebSun1+22)=2),FebSun1+22,""))</f>
        <v>44612</v>
      </c>
      <c r="P14" s="30">
        <f>IF(DAY(FebSun1)=1,IF(AND(YEAR(FebSun1+16)=CalendarYear,MONTH(FebSun1+16)=2),FebSun1+16,""),IF(AND(YEAR(FebSun1+23)=CalendarYear,MONTH(FebSun1+23)=2),FebSun1+23,""))</f>
        <v>44613</v>
      </c>
      <c r="Q14" s="30">
        <f>IF(DAY(FebSun1)=1,IF(AND(YEAR(FebSun1+17)=CalendarYear,MONTH(FebSun1+17)=2),FebSun1+17,""),IF(AND(YEAR(FebSun1+24)=CalendarYear,MONTH(FebSun1+24)=2),FebSun1+24,""))</f>
        <v>44614</v>
      </c>
      <c r="R14" s="30">
        <f>IF(DAY(FebSun1)=1,IF(AND(YEAR(FebSun1+18)=CalendarYear,MONTH(FebSun1+18)=2),FebSun1+18,""),IF(AND(YEAR(FebSun1+25)=CalendarYear,MONTH(FebSun1+25)=2),FebSun1+25,""))</f>
        <v>44615</v>
      </c>
      <c r="S14" s="30">
        <f>IF(DAY(FebSun1)=1,IF(AND(YEAR(FebSun1+19)=CalendarYear,MONTH(FebSun1+19)=2),FebSun1+19,""),IF(AND(YEAR(FebSun1+26)=CalendarYear,MONTH(FebSun1+26)=2),FebSun1+26,""))</f>
        <v>44616</v>
      </c>
      <c r="T14" s="30">
        <f>IF(DAY(FebSun1)=1,IF(AND(YEAR(FebSun1+20)=CalendarYear,MONTH(FebSun1+20)=2),FebSun1+20,""),IF(AND(YEAR(FebSun1+27)=CalendarYear,MONTH(FebSun1+27)=2),FebSun1+27,""))</f>
        <v>44617</v>
      </c>
      <c r="U14" s="30">
        <f>IF(DAY(FebSun1)=1,IF(AND(YEAR(FebSun1+21)=CalendarYear,MONTH(FebSun1+21)=2),FebSun1+21,""),IF(AND(YEAR(FebSun1+28)=CalendarYear,MONTH(FebSun1+28)=2),FebSun1+28,""))</f>
        <v>44618</v>
      </c>
      <c r="V14" s="4"/>
      <c r="W14" s="30">
        <f>IF(DAY(MarSun1)=1,IF(AND(YEAR(MarSun1+15)=CalendarYear,MONTH(MarSun1+15)=3),MarSun1+15,""),IF(AND(YEAR(MarSun1+22)=CalendarYear,MONTH(MarSun1+22)=3),MarSun1+22,""))</f>
        <v>44640</v>
      </c>
      <c r="X14" s="30">
        <f>IF(DAY(MarSun1)=1,IF(AND(YEAR(MarSun1+16)=CalendarYear,MONTH(MarSun1+16)=3),MarSun1+16,""),IF(AND(YEAR(MarSun1+23)=CalendarYear,MONTH(MarSun1+23)=3),MarSun1+23,""))</f>
        <v>44641</v>
      </c>
      <c r="Y14" s="30">
        <f>IF(DAY(MarSun1)=1,IF(AND(YEAR(MarSun1+17)=CalendarYear,MONTH(MarSun1+17)=3),MarSun1+17,""),IF(AND(YEAR(MarSun1+24)=CalendarYear,MONTH(MarSun1+24)=3),MarSun1+24,""))</f>
        <v>44642</v>
      </c>
      <c r="Z14" s="30">
        <f>IF(DAY(MarSun1)=1,IF(AND(YEAR(MarSun1+18)=CalendarYear,MONTH(MarSun1+18)=3),MarSun1+18,""),IF(AND(YEAR(MarSun1+25)=CalendarYear,MONTH(MarSun1+25)=3),MarSun1+25,""))</f>
        <v>44643</v>
      </c>
      <c r="AA14" s="30">
        <f>IF(DAY(MarSun1)=1,IF(AND(YEAR(MarSun1+19)=CalendarYear,MONTH(MarSun1+19)=3),MarSun1+19,""),IF(AND(YEAR(MarSun1+26)=CalendarYear,MONTH(MarSun1+26)=3),MarSun1+26,""))</f>
        <v>44644</v>
      </c>
      <c r="AB14" s="30">
        <f>IF(DAY(MarSun1)=1,IF(AND(YEAR(MarSun1+20)=CalendarYear,MONTH(MarSun1+20)=3),MarSun1+20,""),IF(AND(YEAR(MarSun1+27)=CalendarYear,MONTH(MarSun1+27)=3),MarSun1+27,""))</f>
        <v>44645</v>
      </c>
      <c r="AC14" s="30">
        <f>IF(DAY(MarSun1)=1,IF(AND(YEAR(MarSun1+21)=CalendarYear,MONTH(MarSun1+21)=3),MarSun1+21,""),IF(AND(YEAR(MarSun1+28)=CalendarYear,MONTH(MarSun1+28)=3),MarSun1+28,""))</f>
        <v>44646</v>
      </c>
      <c r="AD14" s="8"/>
      <c r="AE14" s="30">
        <f>IF(DAY(AprSun1)=1,IF(AND(YEAR(AprSun1+15)=CalendarYear,MONTH(AprSun1+15)=4),AprSun1+15,""),IF(AND(YEAR(AprSun1+22)=CalendarYear,MONTH(AprSun1+22)=4),AprSun1+22,""))</f>
        <v>44668</v>
      </c>
      <c r="AF14" s="30">
        <f>IF(DAY(AprSun1)=1,IF(AND(YEAR(AprSun1+16)=CalendarYear,MONTH(AprSun1+16)=4),AprSun1+16,""),IF(AND(YEAR(AprSun1+23)=CalendarYear,MONTH(AprSun1+23)=4),AprSun1+23,""))</f>
        <v>44669</v>
      </c>
      <c r="AG14" s="30">
        <f>IF(DAY(AprSun1)=1,IF(AND(YEAR(AprSun1+17)=CalendarYear,MONTH(AprSun1+17)=4),AprSun1+17,""),IF(AND(YEAR(AprSun1+24)=CalendarYear,MONTH(AprSun1+24)=4),AprSun1+24,""))</f>
        <v>44670</v>
      </c>
      <c r="AH14" s="30">
        <f>IF(DAY(AprSun1)=1,IF(AND(YEAR(AprSun1+18)=CalendarYear,MONTH(AprSun1+18)=4),AprSun1+18,""),IF(AND(YEAR(AprSun1+25)=CalendarYear,MONTH(AprSun1+25)=4),AprSun1+25,""))</f>
        <v>44671</v>
      </c>
      <c r="AI14" s="30">
        <f>IF(DAY(AprSun1)=1,IF(AND(YEAR(AprSun1+19)=CalendarYear,MONTH(AprSun1+19)=4),AprSun1+19,""),IF(AND(YEAR(AprSun1+26)=CalendarYear,MONTH(AprSun1+26)=4),AprSun1+26,""))</f>
        <v>44672</v>
      </c>
      <c r="AJ14" s="30">
        <f>IF(DAY(AprSun1)=1,IF(AND(YEAR(AprSun1+20)=CalendarYear,MONTH(AprSun1+20)=4),AprSun1+20,""),IF(AND(YEAR(AprSun1+27)=CalendarYear,MONTH(AprSun1+27)=4),AprSun1+27,""))</f>
        <v>44673</v>
      </c>
      <c r="AK14" s="30">
        <f>IF(DAY(AprSun1)=1,IF(AND(YEAR(AprSun1+21)=CalendarYear,MONTH(AprSun1+21)=4),AprSun1+21,""),IF(AND(YEAR(AprSun1+28)=CalendarYear,MONTH(AprSun1+28)=4),AprSun1+28,""))</f>
        <v>44674</v>
      </c>
      <c r="AL14" s="4"/>
      <c r="AM14" s="30">
        <f>IF(DAY(MaySun1)=1,IF(AND(YEAR(MaySun1+15)=CalendarYear,MONTH(MaySun1+15)=5),MaySun1+15,""),IF(AND(YEAR(MaySun1+22)=CalendarYear,MONTH(MaySun1+22)=5),MaySun1+22,""))</f>
        <v>44703</v>
      </c>
      <c r="AN14" s="30">
        <f>IF(DAY(MaySun1)=1,IF(AND(YEAR(MaySun1+16)=CalendarYear,MONTH(MaySun1+16)=5),MaySun1+16,""),IF(AND(YEAR(MaySun1+23)=CalendarYear,MONTH(MaySun1+23)=5),MaySun1+23,""))</f>
        <v>44704</v>
      </c>
      <c r="AO14" s="30">
        <f>IF(DAY(MaySun1)=1,IF(AND(YEAR(MaySun1+17)=CalendarYear,MONTH(MaySun1+17)=5),MaySun1+17,""),IF(AND(YEAR(MaySun1+24)=CalendarYear,MONTH(MaySun1+24)=5),MaySun1+24,""))</f>
        <v>44705</v>
      </c>
      <c r="AP14" s="30">
        <f>IF(DAY(MaySun1)=1,IF(AND(YEAR(MaySun1+18)=CalendarYear,MONTH(MaySun1+18)=5),MaySun1+18,""),IF(AND(YEAR(MaySun1+25)=CalendarYear,MONTH(MaySun1+25)=5),MaySun1+25,""))</f>
        <v>44706</v>
      </c>
      <c r="AQ14" s="30">
        <f>IF(DAY(MaySun1)=1,IF(AND(YEAR(MaySun1+19)=CalendarYear,MONTH(MaySun1+19)=5),MaySun1+19,""),IF(AND(YEAR(MaySun1+26)=CalendarYear,MONTH(MaySun1+26)=5),MaySun1+26,""))</f>
        <v>44707</v>
      </c>
      <c r="AR14" s="30">
        <f>IF(DAY(MaySun1)=1,IF(AND(YEAR(MaySun1+20)=CalendarYear,MONTH(MaySun1+20)=5),MaySun1+20,""),IF(AND(YEAR(MaySun1+27)=CalendarYear,MONTH(MaySun1+27)=5),MaySun1+27,""))</f>
        <v>44708</v>
      </c>
      <c r="AS14" s="30">
        <f>IF(DAY(MaySun1)=1,IF(AND(YEAR(MaySun1+21)=CalendarYear,MONTH(MaySun1+21)=5),MaySun1+21,""),IF(AND(YEAR(MaySun1+28)=CalendarYear,MONTH(MaySun1+28)=5),MaySun1+28,""))</f>
        <v>44709</v>
      </c>
      <c r="AT14" s="20"/>
      <c r="AU14" s="30">
        <f>IF(DAY(JunSun1)=1,IF(AND(YEAR(JunSun1+15)=CalendarYear,MONTH(JunSun1+15)=6),JunSun1+15,""),IF(AND(YEAR(JunSun1+22)=CalendarYear,MONTH(JunSun1+22)=6),JunSun1+22,""))</f>
        <v>44731</v>
      </c>
      <c r="AV14" s="30">
        <f>IF(DAY(JunSun1)=1,IF(AND(YEAR(JunSun1+16)=CalendarYear,MONTH(JunSun1+16)=6),JunSun1+16,""),IF(AND(YEAR(JunSun1+23)=CalendarYear,MONTH(JunSun1+23)=6),JunSun1+23,""))</f>
        <v>44732</v>
      </c>
      <c r="AW14" s="30">
        <f>IF(DAY(JunSun1)=1,IF(AND(YEAR(JunSun1+17)=CalendarYear,MONTH(JunSun1+17)=6),JunSun1+17,""),IF(AND(YEAR(JunSun1+24)=CalendarYear,MONTH(JunSun1+24)=6),JunSun1+24,""))</f>
        <v>44733</v>
      </c>
      <c r="AX14" s="30">
        <f>IF(DAY(JunSun1)=1,IF(AND(YEAR(JunSun1+18)=CalendarYear,MONTH(JunSun1+18)=6),JunSun1+18,""),IF(AND(YEAR(JunSun1+25)=CalendarYear,MONTH(JunSun1+25)=6),JunSun1+25,""))</f>
        <v>44734</v>
      </c>
      <c r="AY14" s="30">
        <f>IF(DAY(JunSun1)=1,IF(AND(YEAR(JunSun1+19)=CalendarYear,MONTH(JunSun1+19)=6),JunSun1+19,""),IF(AND(YEAR(JunSun1+26)=CalendarYear,MONTH(JunSun1+26)=6),JunSun1+26,""))</f>
        <v>44735</v>
      </c>
      <c r="AZ14" s="30">
        <f>IF(DAY(JunSun1)=1,IF(AND(YEAR(JunSun1+20)=CalendarYear,MONTH(JunSun1+20)=6),JunSun1+20,""),IF(AND(YEAR(JunSun1+27)=CalendarYear,MONTH(JunSun1+27)=6),JunSun1+27,""))</f>
        <v>44736</v>
      </c>
      <c r="BA14" s="34">
        <f>IF(DAY(JunSun1)=1,IF(AND(YEAR(JunSun1+21)=CalendarYear,MONTH(JunSun1+21)=6),JunSun1+21,""),IF(AND(YEAR(JunSun1+28)=CalendarYear,MONTH(JunSun1+28)=6),JunSun1+28,""))</f>
        <v>44737</v>
      </c>
    </row>
    <row r="15" spans="1:53" x14ac:dyDescent="0.25">
      <c r="B15" s="18" t="s">
        <v>20</v>
      </c>
      <c r="C15" s="44">
        <f>WORKDAY(C14,Variables!$B4,'Holidays Dont Touch'!$B$3:$L$35)</f>
        <v>44853</v>
      </c>
      <c r="D15" s="15"/>
      <c r="G15" s="31">
        <f>IF(DAY(JanSun1)=1,IF(AND(YEAR(JanSun1+22)=CalendarYear,MONTH(JanSun1+22)=1),JanSun1+22,""),IF(AND(YEAR(JanSun1+29)=CalendarYear,MONTH(JanSun1+29)=1),JanSun1+29,""))</f>
        <v>44584</v>
      </c>
      <c r="H15" s="30">
        <f>IF(DAY(JanSun1)=1,IF(AND(YEAR(JanSun1+23)=CalendarYear,MONTH(JanSun1+23)=1),JanSun1+23,""),IF(AND(YEAR(JanSun1+30)=CalendarYear,MONTH(JanSun1+30)=1),JanSun1+30,""))</f>
        <v>44585</v>
      </c>
      <c r="I15" s="30">
        <f>IF(DAY(JanSun1)=1,IF(AND(YEAR(JanSun1+24)=CalendarYear,MONTH(JanSun1+24)=1),JanSun1+24,""),IF(AND(YEAR(JanSun1+31)=CalendarYear,MONTH(JanSun1+31)=1),JanSun1+31,""))</f>
        <v>44586</v>
      </c>
      <c r="J15" s="30">
        <f>IF(DAY(JanSun1)=1,IF(AND(YEAR(JanSun1+25)=CalendarYear,MONTH(JanSun1+25)=1),JanSun1+25,""),IF(AND(YEAR(JanSun1+32)=CalendarYear,MONTH(JanSun1+32)=1),JanSun1+32,""))</f>
        <v>44587</v>
      </c>
      <c r="K15" s="30">
        <f>IF(DAY(JanSun1)=1,IF(AND(YEAR(JanSun1+26)=CalendarYear,MONTH(JanSun1+26)=1),JanSun1+26,""),IF(AND(YEAR(JanSun1+33)=CalendarYear,MONTH(JanSun1+33)=1),JanSun1+33,""))</f>
        <v>44588</v>
      </c>
      <c r="L15" s="30">
        <f>IF(DAY(JanSun1)=1,IF(AND(YEAR(JanSun1+27)=CalendarYear,MONTH(JanSun1+27)=1),JanSun1+27,""),IF(AND(YEAR(JanSun1+34)=CalendarYear,MONTH(JanSun1+34)=1),JanSun1+34,""))</f>
        <v>44589</v>
      </c>
      <c r="M15" s="30">
        <f>IF(DAY(JanSun1)=1,IF(AND(YEAR(JanSun1+28)=CalendarYear,MONTH(JanSun1+28)=1),JanSun1+28,""),IF(AND(YEAR(JanSun1+35)=CalendarYear,MONTH(JanSun1+35)=1),JanSun1+35,""))</f>
        <v>44590</v>
      </c>
      <c r="N15" s="8"/>
      <c r="O15" s="30">
        <f>IF(DAY(FebSun1)=1,IF(AND(YEAR(FebSun1+22)=CalendarYear,MONTH(FebSun1+22)=2),FebSun1+22,""),IF(AND(YEAR(FebSun1+29)=CalendarYear,MONTH(FebSun1+29)=2),FebSun1+29,""))</f>
        <v>44619</v>
      </c>
      <c r="P15" s="30">
        <f>IF(DAY(FebSun1)=1,IF(AND(YEAR(FebSun1+23)=CalendarYear,MONTH(FebSun1+23)=2),FebSun1+23,""),IF(AND(YEAR(FebSun1+30)=CalendarYear,MONTH(FebSun1+30)=2),FebSun1+30,""))</f>
        <v>44620</v>
      </c>
      <c r="Q15" s="30" t="str">
        <f>IF(DAY(FebSun1)=1,IF(AND(YEAR(FebSun1+24)=CalendarYear,MONTH(FebSun1+24)=2),FebSun1+24,""),IF(AND(YEAR(FebSun1+31)=CalendarYear,MONTH(FebSun1+31)=2),FebSun1+31,""))</f>
        <v/>
      </c>
      <c r="R15" s="30" t="str">
        <f>IF(DAY(FebSun1)=1,IF(AND(YEAR(FebSun1+25)=CalendarYear,MONTH(FebSun1+25)=2),FebSun1+25,""),IF(AND(YEAR(FebSun1+32)=CalendarYear,MONTH(FebSun1+32)=2),FebSun1+32,""))</f>
        <v/>
      </c>
      <c r="S15" s="30" t="str">
        <f>IF(DAY(FebSun1)=1,IF(AND(YEAR(FebSun1+26)=CalendarYear,MONTH(FebSun1+26)=2),FebSun1+26,""),IF(AND(YEAR(FebSun1+33)=CalendarYear,MONTH(FebSun1+33)=2),FebSun1+33,""))</f>
        <v/>
      </c>
      <c r="T15" s="30" t="str">
        <f>IF(DAY(FebSun1)=1,IF(AND(YEAR(FebSun1+27)=CalendarYear,MONTH(FebSun1+27)=2),FebSun1+27,""),IF(AND(YEAR(FebSun1+34)=CalendarYear,MONTH(FebSun1+34)=2),FebSun1+34,""))</f>
        <v/>
      </c>
      <c r="U15" s="30" t="str">
        <f>IF(DAY(FebSun1)=1,IF(AND(YEAR(FebSun1+28)=CalendarYear,MONTH(FebSun1+28)=2),FebSun1+28,""),IF(AND(YEAR(FebSun1+35)=CalendarYear,MONTH(FebSun1+35)=2),FebSun1+35,""))</f>
        <v/>
      </c>
      <c r="V15" s="4"/>
      <c r="W15" s="30">
        <f>IF(DAY(MarSun1)=1,IF(AND(YEAR(MarSun1+22)=CalendarYear,MONTH(MarSun1+22)=3),MarSun1+22,""),IF(AND(YEAR(MarSun1+29)=CalendarYear,MONTH(MarSun1+29)=3),MarSun1+29,""))</f>
        <v>44647</v>
      </c>
      <c r="X15" s="30">
        <f>IF(DAY(MarSun1)=1,IF(AND(YEAR(MarSun1+23)=CalendarYear,MONTH(MarSun1+23)=3),MarSun1+23,""),IF(AND(YEAR(MarSun1+30)=CalendarYear,MONTH(MarSun1+30)=3),MarSun1+30,""))</f>
        <v>44648</v>
      </c>
      <c r="Y15" s="30">
        <f>IF(DAY(MarSun1)=1,IF(AND(YEAR(MarSun1+24)=CalendarYear,MONTH(MarSun1+24)=3),MarSun1+24,""),IF(AND(YEAR(MarSun1+31)=CalendarYear,MONTH(MarSun1+31)=3),MarSun1+31,""))</f>
        <v>44649</v>
      </c>
      <c r="Z15" s="30">
        <f>IF(DAY(MarSun1)=1,IF(AND(YEAR(MarSun1+25)=CalendarYear,MONTH(MarSun1+25)=3),MarSun1+25,""),IF(AND(YEAR(MarSun1+32)=CalendarYear,MONTH(MarSun1+32)=3),MarSun1+32,""))</f>
        <v>44650</v>
      </c>
      <c r="AA15" s="30">
        <f>IF(DAY(MarSun1)=1,IF(AND(YEAR(MarSun1+26)=CalendarYear,MONTH(MarSun1+26)=3),MarSun1+26,""),IF(AND(YEAR(MarSun1+33)=CalendarYear,MONTH(MarSun1+33)=3),MarSun1+33,""))</f>
        <v>44651</v>
      </c>
      <c r="AB15" s="30" t="str">
        <f>IF(DAY(MarSun1)=1,IF(AND(YEAR(MarSun1+27)=CalendarYear,MONTH(MarSun1+27)=3),MarSun1+27,""),IF(AND(YEAR(MarSun1+34)=CalendarYear,MONTH(MarSun1+34)=3),MarSun1+34,""))</f>
        <v/>
      </c>
      <c r="AC15" s="30" t="str">
        <f>IF(DAY(MarSun1)=1,IF(AND(YEAR(MarSun1+28)=CalendarYear,MONTH(MarSun1+28)=3),MarSun1+28,""),IF(AND(YEAR(MarSun1+35)=CalendarYear,MONTH(MarSun1+35)=3),MarSun1+35,""))</f>
        <v/>
      </c>
      <c r="AD15" s="8"/>
      <c r="AE15" s="30">
        <f>IF(DAY(AprSun1)=1,IF(AND(YEAR(AprSun1+22)=CalendarYear,MONTH(AprSun1+22)=4),AprSun1+22,""),IF(AND(YEAR(AprSun1+29)=CalendarYear,MONTH(AprSun1+29)=4),AprSun1+29,""))</f>
        <v>44675</v>
      </c>
      <c r="AF15" s="30">
        <f>IF(DAY(AprSun1)=1,IF(AND(YEAR(AprSun1+23)=CalendarYear,MONTH(AprSun1+23)=4),AprSun1+23,""),IF(AND(YEAR(AprSun1+30)=CalendarYear,MONTH(AprSun1+30)=4),AprSun1+30,""))</f>
        <v>44676</v>
      </c>
      <c r="AG15" s="30">
        <f>IF(DAY(AprSun1)=1,IF(AND(YEAR(AprSun1+24)=CalendarYear,MONTH(AprSun1+24)=4),AprSun1+24,""),IF(AND(YEAR(AprSun1+31)=CalendarYear,MONTH(AprSun1+31)=4),AprSun1+31,""))</f>
        <v>44677</v>
      </c>
      <c r="AH15" s="30">
        <f>IF(DAY(AprSun1)=1,IF(AND(YEAR(AprSun1+25)=CalendarYear,MONTH(AprSun1+25)=4),AprSun1+25,""),IF(AND(YEAR(AprSun1+32)=CalendarYear,MONTH(AprSun1+32)=4),AprSun1+32,""))</f>
        <v>44678</v>
      </c>
      <c r="AI15" s="30">
        <f>IF(DAY(AprSun1)=1,IF(AND(YEAR(AprSun1+26)=CalendarYear,MONTH(AprSun1+26)=4),AprSun1+26,""),IF(AND(YEAR(AprSun1+33)=CalendarYear,MONTH(AprSun1+33)=4),AprSun1+33,""))</f>
        <v>44679</v>
      </c>
      <c r="AJ15" s="30">
        <f>IF(DAY(AprSun1)=1,IF(AND(YEAR(AprSun1+27)=CalendarYear,MONTH(AprSun1+27)=4),AprSun1+27,""),IF(AND(YEAR(AprSun1+34)=CalendarYear,MONTH(AprSun1+34)=4),AprSun1+34,""))</f>
        <v>44680</v>
      </c>
      <c r="AK15" s="30">
        <f>IF(DAY(AprSun1)=1,IF(AND(YEAR(AprSun1+28)=CalendarYear,MONTH(AprSun1+28)=4),AprSun1+28,""),IF(AND(YEAR(AprSun1+35)=CalendarYear,MONTH(AprSun1+35)=4),AprSun1+35,""))</f>
        <v>44681</v>
      </c>
      <c r="AL15" s="4"/>
      <c r="AM15" s="30">
        <f>IF(DAY(MaySun1)=1,IF(AND(YEAR(MaySun1+22)=CalendarYear,MONTH(MaySun1+22)=5),MaySun1+22,""),IF(AND(YEAR(MaySun1+29)=CalendarYear,MONTH(MaySun1+29)=5),MaySun1+29,""))</f>
        <v>44710</v>
      </c>
      <c r="AN15" s="30">
        <f>IF(DAY(MaySun1)=1,IF(AND(YEAR(MaySun1+23)=CalendarYear,MONTH(MaySun1+23)=5),MaySun1+23,""),IF(AND(YEAR(MaySun1+30)=CalendarYear,MONTH(MaySun1+30)=5),MaySun1+30,""))</f>
        <v>44711</v>
      </c>
      <c r="AO15" s="30">
        <f>IF(DAY(MaySun1)=1,IF(AND(YEAR(MaySun1+24)=CalendarYear,MONTH(MaySun1+24)=5),MaySun1+24,""),IF(AND(YEAR(MaySun1+31)=CalendarYear,MONTH(MaySun1+31)=5),MaySun1+31,""))</f>
        <v>44712</v>
      </c>
      <c r="AP15" s="30" t="str">
        <f>IF(DAY(MaySun1)=1,IF(AND(YEAR(MaySun1+25)=CalendarYear,MONTH(MaySun1+25)=5),MaySun1+25,""),IF(AND(YEAR(MaySun1+32)=CalendarYear,MONTH(MaySun1+32)=5),MaySun1+32,""))</f>
        <v/>
      </c>
      <c r="AQ15" s="30" t="str">
        <f>IF(DAY(MaySun1)=1,IF(AND(YEAR(MaySun1+26)=CalendarYear,MONTH(MaySun1+26)=5),MaySun1+26,""),IF(AND(YEAR(MaySun1+33)=CalendarYear,MONTH(MaySun1+33)=5),MaySun1+33,""))</f>
        <v/>
      </c>
      <c r="AR15" s="30" t="str">
        <f>IF(DAY(MaySun1)=1,IF(AND(YEAR(MaySun1+27)=CalendarYear,MONTH(MaySun1+27)=5),MaySun1+27,""),IF(AND(YEAR(MaySun1+34)=CalendarYear,MONTH(MaySun1+34)=5),MaySun1+34,""))</f>
        <v/>
      </c>
      <c r="AS15" s="30" t="str">
        <f>IF(DAY(MaySun1)=1,IF(AND(YEAR(MaySun1+28)=CalendarYear,MONTH(MaySun1+28)=5),MaySun1+28,""),IF(AND(YEAR(MaySun1+35)=CalendarYear,MONTH(MaySun1+35)=5),MaySun1+35,""))</f>
        <v/>
      </c>
      <c r="AT15" s="20"/>
      <c r="AU15" s="30">
        <f>IF(DAY(JunSun1)=1,IF(AND(YEAR(JunSun1+22)=CalendarYear,MONTH(JunSun1+22)=6),JunSun1+22,""),IF(AND(YEAR(JunSun1+29)=CalendarYear,MONTH(JunSun1+29)=6),JunSun1+29,""))</f>
        <v>44738</v>
      </c>
      <c r="AV15" s="30">
        <f>IF(DAY(JunSun1)=1,IF(AND(YEAR(JunSun1+23)=CalendarYear,MONTH(JunSun1+23)=6),JunSun1+23,""),IF(AND(YEAR(JunSun1+30)=CalendarYear,MONTH(JunSun1+30)=6),JunSun1+30,""))</f>
        <v>44739</v>
      </c>
      <c r="AW15" s="30">
        <f>IF(DAY(JunSun1)=1,IF(AND(YEAR(JunSun1+24)=CalendarYear,MONTH(JunSun1+24)=6),JunSun1+24,""),IF(AND(YEAR(JunSun1+31)=CalendarYear,MONTH(JunSun1+31)=6),JunSun1+31,""))</f>
        <v>44740</v>
      </c>
      <c r="AX15" s="30">
        <f>IF(DAY(JunSun1)=1,IF(AND(YEAR(JunSun1+25)=CalendarYear,MONTH(JunSun1+25)=6),JunSun1+25,""),IF(AND(YEAR(JunSun1+32)=CalendarYear,MONTH(JunSun1+32)=6),JunSun1+32,""))</f>
        <v>44741</v>
      </c>
      <c r="AY15" s="30">
        <f>IF(DAY(JunSun1)=1,IF(AND(YEAR(JunSun1+26)=CalendarYear,MONTH(JunSun1+26)=6),JunSun1+26,""),IF(AND(YEAR(JunSun1+33)=CalendarYear,MONTH(JunSun1+33)=6),JunSun1+33,""))</f>
        <v>44742</v>
      </c>
      <c r="AZ15" s="30" t="str">
        <f>IF(DAY(JunSun1)=1,IF(AND(YEAR(JunSun1+27)=CalendarYear,MONTH(JunSun1+27)=6),JunSun1+27,""),IF(AND(YEAR(JunSun1+34)=CalendarYear,MONTH(JunSun1+34)=6),JunSun1+34,""))</f>
        <v/>
      </c>
      <c r="BA15" s="34" t="str">
        <f>IF(DAY(JunSun1)=1,IF(AND(YEAR(JunSun1+28)=CalendarYear,MONTH(JunSun1+28)=6),JunSun1+28,""),IF(AND(YEAR(JunSun1+35)=CalendarYear,MONTH(JunSun1+35)=6),JunSun1+35,""))</f>
        <v/>
      </c>
    </row>
    <row r="16" spans="1:53" x14ac:dyDescent="0.25">
      <c r="B16" s="18" t="s">
        <v>21</v>
      </c>
      <c r="C16" s="44">
        <f>WORKDAY(C15,Variables!$B5,'Holidays Dont Touch'!$B$3:$L$35)</f>
        <v>44874</v>
      </c>
      <c r="D16" s="16"/>
      <c r="G16" s="31">
        <f>IF(DAY(JanSun1)=1,IF(AND(YEAR(JanSun1+29)=CalendarYear,MONTH(JanSun1+29)=1),JanSun1+29,""),IF(AND(YEAR(JanSun1+36)=CalendarYear,MONTH(JanSun1+36)=1),JanSun1+36,""))</f>
        <v>44591</v>
      </c>
      <c r="H16" s="30">
        <f>IF(DAY(JanSun1)=1,IF(AND(YEAR(JanSun1+30)=CalendarYear,MONTH(JanSun1+30)=1),JanSun1+30,""),IF(AND(YEAR(JanSun1+37)=CalendarYear,MONTH(JanSun1+37)=1),JanSun1+37,""))</f>
        <v>44592</v>
      </c>
      <c r="I16" s="30" t="str">
        <f>IF(DAY(JanSun1)=1,IF(AND(YEAR(JanSun1+31)=CalendarYear,MONTH(JanSun1+31)=1),JanSun1+31,""),IF(AND(YEAR(JanSun1+38)=CalendarYear,MONTH(JanSun1+38)=1),JanSun1+38,""))</f>
        <v/>
      </c>
      <c r="J16" s="30" t="str">
        <f>IF(DAY(JanSun1)=1,IF(AND(YEAR(JanSun1+32)=CalendarYear,MONTH(JanSun1+32)=1),JanSun1+32,""),IF(AND(YEAR(JanSun1+39)=CalendarYear,MONTH(JanSun1+39)=1),JanSun1+39,""))</f>
        <v/>
      </c>
      <c r="K16" s="30" t="str">
        <f>IF(DAY(JanSun1)=1,IF(AND(YEAR(JanSun1+33)=CalendarYear,MONTH(JanSun1+33)=1),JanSun1+33,""),IF(AND(YEAR(JanSun1+40)=CalendarYear,MONTH(JanSun1+40)=1),JanSun1+40,""))</f>
        <v/>
      </c>
      <c r="L16" s="30" t="str">
        <f>IF(DAY(JanSun1)=1,IF(AND(YEAR(JanSun1+34)=CalendarYear,MONTH(JanSun1+34)=1),JanSun1+34,""),IF(AND(YEAR(JanSun1+41)=CalendarYear,MONTH(JanSun1+41)=1),JanSun1+41,""))</f>
        <v/>
      </c>
      <c r="M16" s="30" t="str">
        <f>IF(DAY(JanSun1)=1,IF(AND(YEAR(JanSun1+35)=CalendarYear,MONTH(JanSun1+35)=1),JanSun1+35,""),IF(AND(YEAR(JanSun1+42)=CalendarYear,MONTH(JanSun1+42)=1),JanSun1+42,""))</f>
        <v/>
      </c>
      <c r="N16" s="8"/>
      <c r="O16" s="30" t="str">
        <f>IF(DAY(FebSun1)=1,IF(AND(YEAR(FebSun1+29)=CalendarYear,MONTH(FebSun1+29)=2),FebSun1+29,""),IF(AND(YEAR(FebSun1+36)=CalendarYear,MONTH(FebSun1+36)=2),FebSun1+36,""))</f>
        <v/>
      </c>
      <c r="P16" s="30" t="str">
        <f>IF(DAY(FebSun1)=1,IF(AND(YEAR(FebSun1+30)=CalendarYear,MONTH(FebSun1+30)=2),FebSun1+30,""),IF(AND(YEAR(FebSun1+37)=CalendarYear,MONTH(FebSun1+37)=2),FebSun1+37,""))</f>
        <v/>
      </c>
      <c r="Q16" s="30" t="str">
        <f>IF(DAY(FebSun1)=1,IF(AND(YEAR(FebSun1+31)=CalendarYear,MONTH(FebSun1+31)=2),FebSun1+31,""),IF(AND(YEAR(FebSun1+38)=CalendarYear,MONTH(FebSun1+38)=2),FebSun1+38,""))</f>
        <v/>
      </c>
      <c r="R16" s="30" t="str">
        <f>IF(DAY(FebSun1)=1,IF(AND(YEAR(FebSun1+32)=CalendarYear,MONTH(FebSun1+32)=2),FebSun1+32,""),IF(AND(YEAR(FebSun1+39)=CalendarYear,MONTH(FebSun1+39)=2),FebSun1+39,""))</f>
        <v/>
      </c>
      <c r="S16" s="30" t="str">
        <f>IF(DAY(FebSun1)=1,IF(AND(YEAR(FebSun1+33)=CalendarYear,MONTH(FebSun1+33)=2),FebSun1+33,""),IF(AND(YEAR(FebSun1+40)=CalendarYear,MONTH(FebSun1+40)=2),FebSun1+40,""))</f>
        <v/>
      </c>
      <c r="T16" s="30" t="str">
        <f>IF(DAY(FebSun1)=1,IF(AND(YEAR(FebSun1+34)=CalendarYear,MONTH(FebSun1+34)=2),FebSun1+34,""),IF(AND(YEAR(FebSun1+41)=CalendarYear,MONTH(FebSun1+41)=2),FebSun1+41,""))</f>
        <v/>
      </c>
      <c r="U16" s="30" t="str">
        <f>IF(DAY(FebSun1)=1,IF(AND(YEAR(FebSun1+35)=CalendarYear,MONTH(FebSun1+35)=2),FebSun1+35,""),IF(AND(YEAR(FebSun1+42)=CalendarYear,MONTH(FebSun1+42)=2),FebSun1+42,""))</f>
        <v/>
      </c>
      <c r="V16" s="4"/>
      <c r="W16" s="30" t="str">
        <f>IF(DAY(MarSun1)=1,IF(AND(YEAR(MarSun1+29)=CalendarYear,MONTH(MarSun1+29)=3),MarSun1+29,""),IF(AND(YEAR(MarSun1+36)=CalendarYear,MONTH(MarSun1+36)=3),MarSun1+36,""))</f>
        <v/>
      </c>
      <c r="X16" s="30" t="str">
        <f>IF(DAY(MarSun1)=1,IF(AND(YEAR(MarSun1+30)=CalendarYear,MONTH(MarSun1+30)=3),MarSun1+30,""),IF(AND(YEAR(MarSun1+37)=CalendarYear,MONTH(MarSun1+37)=3),MarSun1+37,""))</f>
        <v/>
      </c>
      <c r="Y16" s="30" t="str">
        <f>IF(DAY(MarSun1)=1,IF(AND(YEAR(MarSun1+31)=CalendarYear,MONTH(MarSun1+31)=3),MarSun1+31,""),IF(AND(YEAR(MarSun1+38)=CalendarYear,MONTH(MarSun1+38)=3),MarSun1+38,""))</f>
        <v/>
      </c>
      <c r="Z16" s="30" t="str">
        <f>IF(DAY(MarSun1)=1,IF(AND(YEAR(MarSun1+32)=CalendarYear,MONTH(MarSun1+32)=3),MarSun1+32,""),IF(AND(YEAR(MarSun1+39)=CalendarYear,MONTH(MarSun1+39)=3),MarSun1+39,""))</f>
        <v/>
      </c>
      <c r="AA16" s="30" t="str">
        <f>IF(DAY(MarSun1)=1,IF(AND(YEAR(MarSun1+33)=CalendarYear,MONTH(MarSun1+33)=3),MarSun1+33,""),IF(AND(YEAR(MarSun1+40)=CalendarYear,MONTH(MarSun1+40)=3),MarSun1+40,""))</f>
        <v/>
      </c>
      <c r="AB16" s="30" t="str">
        <f>IF(DAY(MarSun1)=1,IF(AND(YEAR(MarSun1+34)=CalendarYear,MONTH(MarSun1+34)=3),MarSun1+34,""),IF(AND(YEAR(MarSun1+41)=CalendarYear,MONTH(MarSun1+41)=3),MarSun1+41,""))</f>
        <v/>
      </c>
      <c r="AC16" s="30" t="str">
        <f>IF(DAY(MarSun1)=1,IF(AND(YEAR(MarSun1+35)=CalendarYear,MONTH(MarSun1+35)=3),MarSun1+35,""),IF(AND(YEAR(MarSun1+42)=CalendarYear,MONTH(MarSun1+42)=3),MarSun1+42,""))</f>
        <v/>
      </c>
      <c r="AD16" s="8"/>
      <c r="AE16" s="30" t="str">
        <f>IF(DAY(AprSun1)=1,IF(AND(YEAR(AprSun1+29)=CalendarYear,MONTH(AprSun1+29)=4),AprSun1+29,""),IF(AND(YEAR(AprSun1+36)=CalendarYear,MONTH(AprSun1+36)=4),AprSun1+36,""))</f>
        <v/>
      </c>
      <c r="AF16" s="30" t="str">
        <f>IF(DAY(AprSun1)=1,IF(AND(YEAR(AprSun1+30)=CalendarYear,MONTH(AprSun1+30)=4),AprSun1+30,""),IF(AND(YEAR(AprSun1+37)=CalendarYear,MONTH(AprSun1+37)=4),AprSun1+37,""))</f>
        <v/>
      </c>
      <c r="AG16" s="30" t="str">
        <f>IF(DAY(AprSun1)=1,IF(AND(YEAR(AprSun1+31)=CalendarYear,MONTH(AprSun1+31)=4),AprSun1+31,""),IF(AND(YEAR(AprSun1+38)=CalendarYear,MONTH(AprSun1+38)=4),AprSun1+38,""))</f>
        <v/>
      </c>
      <c r="AH16" s="30" t="str">
        <f>IF(DAY(AprSun1)=1,IF(AND(YEAR(AprSun1+32)=CalendarYear,MONTH(AprSun1+32)=4),AprSun1+32,""),IF(AND(YEAR(AprSun1+39)=CalendarYear,MONTH(AprSun1+39)=4),AprSun1+39,""))</f>
        <v/>
      </c>
      <c r="AI16" s="30" t="str">
        <f>IF(DAY(AprSun1)=1,IF(AND(YEAR(AprSun1+33)=CalendarYear,MONTH(AprSun1+33)=4),AprSun1+33,""),IF(AND(YEAR(AprSun1+40)=CalendarYear,MONTH(AprSun1+40)=4),AprSun1+40,""))</f>
        <v/>
      </c>
      <c r="AJ16" s="30" t="str">
        <f>IF(DAY(AprSun1)=1,IF(AND(YEAR(AprSun1+34)=CalendarYear,MONTH(AprSun1+34)=4),AprSun1+34,""),IF(AND(YEAR(AprSun1+41)=CalendarYear,MONTH(AprSun1+41)=4),AprSun1+41,""))</f>
        <v/>
      </c>
      <c r="AK16" s="30" t="str">
        <f>IF(DAY(AprSun1)=1,IF(AND(YEAR(AprSun1+35)=CalendarYear,MONTH(AprSun1+35)=4),AprSun1+35,""),IF(AND(YEAR(AprSun1+42)=CalendarYear,MONTH(AprSun1+42)=4),AprSun1+42,""))</f>
        <v/>
      </c>
      <c r="AL16" s="4"/>
      <c r="AM16" s="30" t="str">
        <f>IF(DAY(MaySun1)=1,IF(AND(YEAR(MaySun1+29)=CalendarYear,MONTH(MaySun1+29)=5),MaySun1+29,""),IF(AND(YEAR(MaySun1+36)=CalendarYear,MONTH(MaySun1+36)=5),MaySun1+36,""))</f>
        <v/>
      </c>
      <c r="AN16" s="30" t="str">
        <f>IF(DAY(MaySun1)=1,IF(AND(YEAR(MaySun1+30)=CalendarYear,MONTH(MaySun1+30)=5),MaySun1+30,""),IF(AND(YEAR(MaySun1+37)=CalendarYear,MONTH(MaySun1+37)=5),MaySun1+37,""))</f>
        <v/>
      </c>
      <c r="AO16" s="30" t="str">
        <f>IF(DAY(MaySun1)=1,IF(AND(YEAR(MaySun1+31)=CalendarYear,MONTH(MaySun1+31)=5),MaySun1+31,""),IF(AND(YEAR(MaySun1+38)=CalendarYear,MONTH(MaySun1+38)=5),MaySun1+38,""))</f>
        <v/>
      </c>
      <c r="AP16" s="30" t="str">
        <f>IF(DAY(MaySun1)=1,IF(AND(YEAR(MaySun1+32)=CalendarYear,MONTH(MaySun1+32)=5),MaySun1+32,""),IF(AND(YEAR(MaySun1+39)=CalendarYear,MONTH(MaySun1+39)=5),MaySun1+39,""))</f>
        <v/>
      </c>
      <c r="AQ16" s="30" t="str">
        <f>IF(DAY(MaySun1)=1,IF(AND(YEAR(MaySun1+33)=CalendarYear,MONTH(MaySun1+33)=5),MaySun1+33,""),IF(AND(YEAR(MaySun1+40)=CalendarYear,MONTH(MaySun1+40)=5),MaySun1+40,""))</f>
        <v/>
      </c>
      <c r="AR16" s="30" t="str">
        <f>IF(DAY(MaySun1)=1,IF(AND(YEAR(MaySun1+34)=CalendarYear,MONTH(MaySun1+34)=5),MaySun1+34,""),IF(AND(YEAR(MaySun1+41)=CalendarYear,MONTH(MaySun1+41)=5),MaySun1+41,""))</f>
        <v/>
      </c>
      <c r="AS16" s="30" t="str">
        <f>IF(DAY(MaySun1)=1,IF(AND(YEAR(MaySun1+35)=CalendarYear,MONTH(MaySun1+35)=5),MaySun1+35,""),IF(AND(YEAR(MaySun1+42)=CalendarYear,MONTH(MaySun1+42)=5),MaySun1+42,""))</f>
        <v/>
      </c>
      <c r="AT16" s="20"/>
      <c r="AU16" s="30" t="str">
        <f>IF(DAY(JunSun1)=1,IF(AND(YEAR(JunSun1+29)=CalendarYear,MONTH(JunSun1+29)=6),JunSun1+29,""),IF(AND(YEAR(JunSun1+36)=CalendarYear,MONTH(JunSun1+36)=6),JunSun1+36,""))</f>
        <v/>
      </c>
      <c r="AV16" s="30" t="str">
        <f>IF(DAY(JunSun1)=1,IF(AND(YEAR(JunSun1+30)=CalendarYear,MONTH(JunSun1+30)=6),JunSun1+30,""),IF(AND(YEAR(JunSun1+37)=CalendarYear,MONTH(JunSun1+37)=6),JunSun1+37,""))</f>
        <v/>
      </c>
      <c r="AW16" s="30" t="str">
        <f>IF(DAY(JunSun1)=1,IF(AND(YEAR(JunSun1+31)=CalendarYear,MONTH(JunSun1+31)=6),JunSun1+31,""),IF(AND(YEAR(JunSun1+38)=CalendarYear,MONTH(JunSun1+38)=6),JunSun1+38,""))</f>
        <v/>
      </c>
      <c r="AX16" s="30" t="str">
        <f>IF(DAY(JunSun1)=1,IF(AND(YEAR(JunSun1+32)=CalendarYear,MONTH(JunSun1+32)=6),JunSun1+32,""),IF(AND(YEAR(JunSun1+39)=CalendarYear,MONTH(JunSun1+39)=6),JunSun1+39,""))</f>
        <v/>
      </c>
      <c r="AY16" s="30" t="str">
        <f>IF(DAY(JunSun1)=1,IF(AND(YEAR(JunSun1+33)=CalendarYear,MONTH(JunSun1+33)=6),JunSun1+33,""),IF(AND(YEAR(JunSun1+40)=CalendarYear,MONTH(JunSun1+40)=6),JunSun1+40,""))</f>
        <v/>
      </c>
      <c r="AZ16" s="30" t="str">
        <f>IF(DAY(JunSun1)=1,IF(AND(YEAR(JunSun1+34)=CalendarYear,MONTH(JunSun1+34)=6),JunSun1+34,""),IF(AND(YEAR(JunSun1+41)=CalendarYear,MONTH(JunSun1+41)=6),JunSun1+41,""))</f>
        <v/>
      </c>
      <c r="BA16" s="34" t="str">
        <f>IF(DAY(JunSun1)=1,IF(AND(YEAR(JunSun1+35)=CalendarYear,MONTH(JunSun1+35)=6),JunSun1+35,""),IF(AND(YEAR(JunSun1+42)=CalendarYear,MONTH(JunSun1+42)=6),JunSun1+42,""))</f>
        <v/>
      </c>
    </row>
    <row r="17" spans="2:53" x14ac:dyDescent="0.25">
      <c r="B17" s="18" t="s">
        <v>4</v>
      </c>
      <c r="C17" s="44">
        <f>WORKDAY(C16,Variables!$B6,'Holidays Dont Touch'!$B$3:$L$35)</f>
        <v>44952</v>
      </c>
      <c r="D17" s="17"/>
      <c r="G17" s="23"/>
      <c r="H17" s="20"/>
      <c r="I17" s="20"/>
      <c r="J17" s="20"/>
      <c r="K17" s="20"/>
      <c r="L17" s="20"/>
      <c r="M17" s="20"/>
      <c r="N17" s="8"/>
      <c r="O17" s="20"/>
      <c r="P17" s="20"/>
      <c r="Q17" s="20"/>
      <c r="R17" s="20"/>
      <c r="S17" s="20"/>
      <c r="T17" s="20"/>
      <c r="U17" s="20"/>
      <c r="V17" s="4"/>
      <c r="W17" s="20"/>
      <c r="X17" s="20"/>
      <c r="Y17" s="20"/>
      <c r="Z17" s="20"/>
      <c r="AA17" s="20"/>
      <c r="AB17" s="20"/>
      <c r="AC17" s="20"/>
      <c r="AD17" s="8"/>
      <c r="AE17" s="20"/>
      <c r="AF17" s="20"/>
      <c r="AG17" s="20"/>
      <c r="AH17" s="20"/>
      <c r="AI17" s="20"/>
      <c r="AJ17" s="20"/>
      <c r="AK17" s="20"/>
      <c r="AL17" s="4"/>
      <c r="AM17" s="4"/>
      <c r="AN17" s="4"/>
      <c r="AO17" s="4"/>
      <c r="AP17" s="4"/>
      <c r="AQ17" s="4"/>
      <c r="AR17" s="4"/>
      <c r="AS17" s="4"/>
      <c r="AT17" s="20"/>
      <c r="AU17" s="4"/>
      <c r="AV17" s="4"/>
      <c r="AW17" s="4"/>
      <c r="AX17" s="4"/>
      <c r="AY17" s="4"/>
      <c r="AZ17" s="4"/>
      <c r="BA17" s="24"/>
    </row>
    <row r="18" spans="2:53" ht="15.75" thickBot="1" x14ac:dyDescent="0.3">
      <c r="B18" s="18" t="s">
        <v>5</v>
      </c>
      <c r="C18" s="44">
        <f>WORKDAY(C17,Variables!$B7,'Holidays Dont Touch'!$B$3:$L$35)</f>
        <v>45023</v>
      </c>
      <c r="D18" s="14"/>
      <c r="G18" s="99">
        <f>DATE(CalendarYear,7,1)</f>
        <v>44743</v>
      </c>
      <c r="H18" s="100"/>
      <c r="I18" s="100"/>
      <c r="J18" s="100"/>
      <c r="K18" s="100"/>
      <c r="L18" s="100"/>
      <c r="M18" s="100"/>
      <c r="N18" s="10"/>
      <c r="O18" s="100">
        <f>DATE(CalendarYear,8,1)</f>
        <v>44774</v>
      </c>
      <c r="P18" s="100"/>
      <c r="Q18" s="100"/>
      <c r="R18" s="100"/>
      <c r="S18" s="100"/>
      <c r="T18" s="100"/>
      <c r="U18" s="100"/>
      <c r="V18" s="11"/>
      <c r="W18" s="100">
        <f>DATE(CalendarYear,9,1)</f>
        <v>44805</v>
      </c>
      <c r="X18" s="100"/>
      <c r="Y18" s="100"/>
      <c r="Z18" s="100"/>
      <c r="AA18" s="100"/>
      <c r="AB18" s="100"/>
      <c r="AC18" s="100"/>
      <c r="AD18" s="10"/>
      <c r="AE18" s="100">
        <f>DATE(CalendarYear,10,1)</f>
        <v>44835</v>
      </c>
      <c r="AF18" s="100"/>
      <c r="AG18" s="100"/>
      <c r="AH18" s="100"/>
      <c r="AI18" s="100"/>
      <c r="AJ18" s="100"/>
      <c r="AK18" s="100"/>
      <c r="AL18" s="11"/>
      <c r="AM18" s="100">
        <f>DATE(CalendarYear,11,1)</f>
        <v>44866</v>
      </c>
      <c r="AN18" s="100"/>
      <c r="AO18" s="100"/>
      <c r="AP18" s="100"/>
      <c r="AQ18" s="100"/>
      <c r="AR18" s="100"/>
      <c r="AS18" s="100"/>
      <c r="AT18" s="12"/>
      <c r="AU18" s="100">
        <f>DATE(CalendarYear,12,1)</f>
        <v>44896</v>
      </c>
      <c r="AV18" s="100"/>
      <c r="AW18" s="100"/>
      <c r="AX18" s="100"/>
      <c r="AY18" s="100"/>
      <c r="AZ18" s="100"/>
      <c r="BA18" s="101"/>
    </row>
    <row r="19" spans="2:53" ht="15.75" thickTop="1" x14ac:dyDescent="0.25">
      <c r="B19" s="18" t="s">
        <v>7</v>
      </c>
      <c r="C19" s="44">
        <f>WORKDAY(C18,3,'Holidays Dont Touch'!$B$3:$L$35)</f>
        <v>45028</v>
      </c>
      <c r="D19" s="15"/>
      <c r="G19" s="32" t="s">
        <v>43</v>
      </c>
      <c r="H19" s="33" t="s">
        <v>44</v>
      </c>
      <c r="I19" s="33" t="s">
        <v>45</v>
      </c>
      <c r="J19" s="33" t="s">
        <v>46</v>
      </c>
      <c r="K19" s="33" t="s">
        <v>45</v>
      </c>
      <c r="L19" s="33" t="s">
        <v>47</v>
      </c>
      <c r="M19" s="33" t="s">
        <v>43</v>
      </c>
      <c r="N19" s="6"/>
      <c r="O19" s="33" t="s">
        <v>43</v>
      </c>
      <c r="P19" s="33" t="s">
        <v>44</v>
      </c>
      <c r="Q19" s="33" t="s">
        <v>45</v>
      </c>
      <c r="R19" s="33" t="s">
        <v>46</v>
      </c>
      <c r="S19" s="33" t="s">
        <v>45</v>
      </c>
      <c r="T19" s="33" t="s">
        <v>47</v>
      </c>
      <c r="U19" s="33" t="s">
        <v>43</v>
      </c>
      <c r="V19" s="4"/>
      <c r="W19" s="33" t="s">
        <v>43</v>
      </c>
      <c r="X19" s="33" t="s">
        <v>44</v>
      </c>
      <c r="Y19" s="33" t="s">
        <v>45</v>
      </c>
      <c r="Z19" s="33" t="s">
        <v>46</v>
      </c>
      <c r="AA19" s="33" t="s">
        <v>45</v>
      </c>
      <c r="AB19" s="33" t="s">
        <v>47</v>
      </c>
      <c r="AC19" s="33" t="s">
        <v>43</v>
      </c>
      <c r="AD19" s="8"/>
      <c r="AE19" s="33" t="s">
        <v>43</v>
      </c>
      <c r="AF19" s="33" t="s">
        <v>44</v>
      </c>
      <c r="AG19" s="33" t="s">
        <v>45</v>
      </c>
      <c r="AH19" s="33" t="s">
        <v>46</v>
      </c>
      <c r="AI19" s="33" t="s">
        <v>45</v>
      </c>
      <c r="AJ19" s="33" t="s">
        <v>47</v>
      </c>
      <c r="AK19" s="33" t="s">
        <v>43</v>
      </c>
      <c r="AL19" s="4"/>
      <c r="AM19" s="33" t="s">
        <v>43</v>
      </c>
      <c r="AN19" s="33" t="s">
        <v>44</v>
      </c>
      <c r="AO19" s="33" t="s">
        <v>45</v>
      </c>
      <c r="AP19" s="33" t="s">
        <v>46</v>
      </c>
      <c r="AQ19" s="33" t="s">
        <v>45</v>
      </c>
      <c r="AR19" s="33" t="s">
        <v>47</v>
      </c>
      <c r="AS19" s="33" t="s">
        <v>43</v>
      </c>
      <c r="AT19" s="20"/>
      <c r="AU19" s="33" t="s">
        <v>43</v>
      </c>
      <c r="AV19" s="33" t="s">
        <v>44</v>
      </c>
      <c r="AW19" s="33" t="s">
        <v>45</v>
      </c>
      <c r="AX19" s="33" t="s">
        <v>46</v>
      </c>
      <c r="AY19" s="33" t="s">
        <v>45</v>
      </c>
      <c r="AZ19" s="33" t="s">
        <v>47</v>
      </c>
      <c r="BA19" s="35" t="s">
        <v>43</v>
      </c>
    </row>
    <row r="20" spans="2:53" ht="15.75" x14ac:dyDescent="0.25">
      <c r="B20" s="18" t="s">
        <v>48</v>
      </c>
      <c r="C20" s="13">
        <f>Variables!B8+Variables!B9+Variables!B10</f>
        <v>40</v>
      </c>
      <c r="D20" s="18"/>
      <c r="G20" s="31" t="str">
        <f>IF(DAY(JulSun1)=1,"",IF(AND(YEAR(JulSun1+1)=CalendarYear,MONTH(JulSun1+1)=7),JulSun1+1,""))</f>
        <v/>
      </c>
      <c r="H20" s="30" t="str">
        <f>IF(DAY(JulSun1)=1,"",IF(AND(YEAR(JulSun1+2)=CalendarYear,MONTH(JulSun1+2)=7),JulSun1+2,""))</f>
        <v/>
      </c>
      <c r="I20" s="30" t="str">
        <f>IF(DAY(JulSun1)=1,"",IF(AND(YEAR(JulSun1+3)=CalendarYear,MONTH(JulSun1+3)=7),JulSun1+3,""))</f>
        <v/>
      </c>
      <c r="J20" s="30" t="str">
        <f>IF(DAY(JulSun1)=1,"",IF(AND(YEAR(JulSun1+4)=CalendarYear,MONTH(JulSun1+4)=7),JulSun1+4,""))</f>
        <v/>
      </c>
      <c r="K20" s="30" t="str">
        <f>IF(DAY(JulSun1)=1,"",IF(AND(YEAR(JulSun1+5)=CalendarYear,MONTH(JulSun1+5)=7),JulSun1+5,""))</f>
        <v/>
      </c>
      <c r="L20" s="30">
        <f>IF(DAY(JulSun1)=1,"",IF(AND(YEAR(JulSun1+6)=CalendarYear,MONTH(JulSun1+6)=7),JulSun1+6,""))</f>
        <v>44743</v>
      </c>
      <c r="M20" s="30">
        <f>IF(DAY(JulSun1)=1,IF(AND(YEAR(JulSun1)=CalendarYear,MONTH(JulSun1)=7),JulSun1,""),IF(AND(YEAR(JulSun1+7)=CalendarYear,MONTH(JulSun1+7)=7),JulSun1+7,""))</f>
        <v>44744</v>
      </c>
      <c r="N20" s="5"/>
      <c r="O20" s="30" t="str">
        <f>IF(DAY(AugSun1)=1,"",IF(AND(YEAR(AugSun1+1)=CalendarYear,MONTH(AugSun1+1)=8),AugSun1+1,""))</f>
        <v/>
      </c>
      <c r="P20" s="30">
        <f>IF(DAY(AugSun1)=1,"",IF(AND(YEAR(AugSun1+2)=CalendarYear,MONTH(AugSun1+2)=8),AugSun1+2,""))</f>
        <v>44774</v>
      </c>
      <c r="Q20" s="30">
        <f>IF(DAY(AugSun1)=1,"",IF(AND(YEAR(AugSun1+3)=CalendarYear,MONTH(AugSun1+3)=8),AugSun1+3,""))</f>
        <v>44775</v>
      </c>
      <c r="R20" s="30">
        <f>IF(DAY(AugSun1)=1,"",IF(AND(YEAR(AugSun1+4)=CalendarYear,MONTH(AugSun1+4)=8),AugSun1+4,""))</f>
        <v>44776</v>
      </c>
      <c r="S20" s="30">
        <f>IF(DAY(AugSun1)=1,"",IF(AND(YEAR(AugSun1+5)=CalendarYear,MONTH(AugSun1+5)=8),AugSun1+5,""))</f>
        <v>44777</v>
      </c>
      <c r="T20" s="30">
        <f>IF(DAY(AugSun1)=1,"",IF(AND(YEAR(AugSun1+6)=CalendarYear,MONTH(AugSun1+6)=8),AugSun1+6,""))</f>
        <v>44778</v>
      </c>
      <c r="U20" s="30">
        <f>IF(DAY(AugSun1)=1,IF(AND(YEAR(AugSun1)=CalendarYear,MONTH(AugSun1)=8),AugSun1,""),IF(AND(YEAR(AugSun1+7)=CalendarYear,MONTH(AugSun1+7)=8),AugSun1+7,""))</f>
        <v>44779</v>
      </c>
      <c r="V20" s="4"/>
      <c r="W20" s="30" t="str">
        <f>IF(DAY(SepSun1)=1,"",IF(AND(YEAR(SepSun1+1)=CalendarYear,MONTH(SepSun1+1)=9),SepSun1+1,""))</f>
        <v/>
      </c>
      <c r="X20" s="30" t="str">
        <f>IF(DAY(SepSun1)=1,"",IF(AND(YEAR(SepSun1+2)=CalendarYear,MONTH(SepSun1+2)=9),SepSun1+2,""))</f>
        <v/>
      </c>
      <c r="Y20" s="30" t="str">
        <f>IF(DAY(SepSun1)=1,"",IF(AND(YEAR(SepSun1+3)=CalendarYear,MONTH(SepSun1+3)=9),SepSun1+3,""))</f>
        <v/>
      </c>
      <c r="Z20" s="30" t="str">
        <f>IF(DAY(SepSun1)=1,"",IF(AND(YEAR(SepSun1+4)=CalendarYear,MONTH(SepSun1+4)=9),SepSun1+4,""))</f>
        <v/>
      </c>
      <c r="AA20" s="30">
        <f>IF(DAY(SepSun1)=1,"",IF(AND(YEAR(SepSun1+5)=CalendarYear,MONTH(SepSun1+5)=9),SepSun1+5,""))</f>
        <v>44805</v>
      </c>
      <c r="AB20" s="30">
        <f>IF(DAY(SepSun1)=1,"",IF(AND(YEAR(SepSun1+6)=CalendarYear,MONTH(SepSun1+6)=9),SepSun1+6,""))</f>
        <v>44806</v>
      </c>
      <c r="AC20" s="30">
        <f>IF(DAY(SepSun1)=1,IF(AND(YEAR(SepSun1)=CalendarYear,MONTH(SepSun1)=9),SepSun1,""),IF(AND(YEAR(SepSun1+7)=CalendarYear,MONTH(SepSun1+7)=9),SepSun1+7,""))</f>
        <v>44807</v>
      </c>
      <c r="AD20" s="3"/>
      <c r="AE20" s="30" t="str">
        <f>IF(DAY(OctSun1)=1,"",IF(AND(YEAR(OctSun1+1)=CalendarYear,MONTH(OctSun1+1)=10),OctSun1+1,""))</f>
        <v/>
      </c>
      <c r="AF20" s="30" t="str">
        <f>IF(DAY(OctSun1)=1,"",IF(AND(YEAR(OctSun1+2)=CalendarYear,MONTH(OctSun1+2)=10),OctSun1+2,""))</f>
        <v/>
      </c>
      <c r="AG20" s="30" t="str">
        <f>IF(DAY(OctSun1)=1,"",IF(AND(YEAR(OctSun1+3)=CalendarYear,MONTH(OctSun1+3)=10),OctSun1+3,""))</f>
        <v/>
      </c>
      <c r="AH20" s="30" t="str">
        <f>IF(DAY(OctSun1)=1,"",IF(AND(YEAR(OctSun1+4)=CalendarYear,MONTH(OctSun1+4)=10),OctSun1+4,""))</f>
        <v/>
      </c>
      <c r="AI20" s="30" t="str">
        <f>IF(DAY(OctSun1)=1,"",IF(AND(YEAR(OctSun1+5)=CalendarYear,MONTH(OctSun1+5)=10),OctSun1+5,""))</f>
        <v/>
      </c>
      <c r="AJ20" s="30" t="str">
        <f>IF(DAY(OctSun1)=1,"",IF(AND(YEAR(OctSun1+6)=CalendarYear,MONTH(OctSun1+6)=10),OctSun1+6,""))</f>
        <v/>
      </c>
      <c r="AK20" s="30">
        <f>IF(DAY(OctSun1)=1,IF(AND(YEAR(OctSun1)=CalendarYear,MONTH(OctSun1)=10),OctSun1,""),IF(AND(YEAR(OctSun1+7)=CalendarYear,MONTH(OctSun1+7)=10),OctSun1+7,""))</f>
        <v>44835</v>
      </c>
      <c r="AL20" s="4"/>
      <c r="AM20" s="30" t="str">
        <f>IF(DAY(NovSun1)=1,"",IF(AND(YEAR(NovSun1+1)=CalendarYear,MONTH(NovSun1+1)=11),NovSun1+1,""))</f>
        <v/>
      </c>
      <c r="AN20" s="30" t="str">
        <f>IF(DAY(NovSun1)=1,"",IF(AND(YEAR(NovSun1+2)=CalendarYear,MONTH(NovSun1+2)=11),NovSun1+2,""))</f>
        <v/>
      </c>
      <c r="AO20" s="30">
        <f>IF(DAY(NovSun1)=1,"",IF(AND(YEAR(NovSun1+3)=CalendarYear,MONTH(NovSun1+3)=11),NovSun1+3,""))</f>
        <v>44866</v>
      </c>
      <c r="AP20" s="30">
        <f>IF(DAY(NovSun1)=1,"",IF(AND(YEAR(NovSun1+4)=CalendarYear,MONTH(NovSun1+4)=11),NovSun1+4,""))</f>
        <v>44867</v>
      </c>
      <c r="AQ20" s="30">
        <f>IF(DAY(NovSun1)=1,"",IF(AND(YEAR(NovSun1+5)=CalendarYear,MONTH(NovSun1+5)=11),NovSun1+5,""))</f>
        <v>44868</v>
      </c>
      <c r="AR20" s="30">
        <f>IF(DAY(NovSun1)=1,"",IF(AND(YEAR(NovSun1+6)=CalendarYear,MONTH(NovSun1+6)=11),NovSun1+6,""))</f>
        <v>44869</v>
      </c>
      <c r="AS20" s="30">
        <f>IF(DAY(NovSun1)=1,IF(AND(YEAR(NovSun1)=CalendarYear,MONTH(NovSun1)=11),NovSun1,""),IF(AND(YEAR(NovSun1+7)=CalendarYear,MONTH(NovSun1+7)=11),NovSun1+7,""))</f>
        <v>44870</v>
      </c>
      <c r="AT20" s="20"/>
      <c r="AU20" s="30" t="str">
        <f>IF(DAY(DecSun1)=1,"",IF(AND(YEAR(DecSun1+1)=CalendarYear,MONTH(DecSun1+1)=12),DecSun1+1,""))</f>
        <v/>
      </c>
      <c r="AV20" s="30" t="str">
        <f>IF(DAY(DecSun1)=1,"",IF(AND(YEAR(DecSun1+2)=CalendarYear,MONTH(DecSun1+2)=12),DecSun1+2,""))</f>
        <v/>
      </c>
      <c r="AW20" s="30" t="str">
        <f>IF(DAY(DecSun1)=1,"",IF(AND(YEAR(DecSun1+3)=CalendarYear,MONTH(DecSun1+3)=12),DecSun1+3,""))</f>
        <v/>
      </c>
      <c r="AX20" s="30" t="str">
        <f>IF(DAY(DecSun1)=1,"",IF(AND(YEAR(DecSun1+4)=CalendarYear,MONTH(DecSun1+4)=12),DecSun1+4,""))</f>
        <v/>
      </c>
      <c r="AY20" s="30">
        <f>IF(DAY(DecSun1)=1,"",IF(AND(YEAR(DecSun1+5)=CalendarYear,MONTH(DecSun1+5)=12),DecSun1+5,""))</f>
        <v>44896</v>
      </c>
      <c r="AZ20" s="30">
        <f>IF(DAY(DecSun1)=1,"",IF(AND(YEAR(DecSun1+6)=CalendarYear,MONTH(DecSun1+6)=12),DecSun1+6,""))</f>
        <v>44897</v>
      </c>
      <c r="BA20" s="34">
        <f>IF(DAY(DecSun1)=1,IF(AND(YEAR(DecSun1)=CalendarYear,MONTH(DecSun1)=12),DecSun1,""),IF(AND(YEAR(DecSun1+7)=CalendarYear,MONTH(DecSun1+7)=12),DecSun1+7,""))</f>
        <v>44898</v>
      </c>
    </row>
    <row r="21" spans="2:53" x14ac:dyDescent="0.25">
      <c r="B21" s="18" t="s">
        <v>22</v>
      </c>
      <c r="C21" s="44">
        <f>WORKDAY(C19,Variables!$B8,'Holidays Dont Touch'!$B$3:$L$35)</f>
        <v>45035</v>
      </c>
      <c r="D21" s="16"/>
      <c r="G21" s="31">
        <f>IF(DAY(JulSun1)=1,IF(AND(YEAR(JulSun1+1)=CalendarYear,MONTH(JulSun1+1)=7),JulSun1+1,""),IF(AND(YEAR(JulSun1+8)=CalendarYear,MONTH(JulSun1+8)=7),JulSun1+8,""))</f>
        <v>44745</v>
      </c>
      <c r="H21" s="30">
        <f>IF(DAY(JulSun1)=1,IF(AND(YEAR(JulSun1+2)=CalendarYear,MONTH(JulSun1+2)=7),JulSun1+2,""),IF(AND(YEAR(JulSun1+9)=CalendarYear,MONTH(JulSun1+9)=7),JulSun1+9,""))</f>
        <v>44746</v>
      </c>
      <c r="I21" s="30">
        <f>IF(DAY(JulSun1)=1,IF(AND(YEAR(JulSun1+3)=CalendarYear,MONTH(JulSun1+3)=7),JulSun1+3,""),IF(AND(YEAR(JulSun1+10)=CalendarYear,MONTH(JulSun1+10)=7),JulSun1+10,""))</f>
        <v>44747</v>
      </c>
      <c r="J21" s="30">
        <f>IF(DAY(JulSun1)=1,IF(AND(YEAR(JulSun1+4)=CalendarYear,MONTH(JulSun1+4)=7),JulSun1+4,""),IF(AND(YEAR(JulSun1+11)=CalendarYear,MONTH(JulSun1+11)=7),JulSun1+11,""))</f>
        <v>44748</v>
      </c>
      <c r="K21" s="30">
        <f>IF(DAY(JulSun1)=1,IF(AND(YEAR(JulSun1+5)=CalendarYear,MONTH(JulSun1+5)=7),JulSun1+5,""),IF(AND(YEAR(JulSun1+12)=CalendarYear,MONTH(JulSun1+12)=7),JulSun1+12,""))</f>
        <v>44749</v>
      </c>
      <c r="L21" s="30">
        <f>IF(DAY(JulSun1)=1,IF(AND(YEAR(JulSun1+6)=CalendarYear,MONTH(JulSun1+6)=7),JulSun1+6,""),IF(AND(YEAR(JulSun1+13)=CalendarYear,MONTH(JulSun1+13)=7),JulSun1+13,""))</f>
        <v>44750</v>
      </c>
      <c r="M21" s="30">
        <f>IF(DAY(JulSun1)=1,IF(AND(YEAR(JulSun1+7)=CalendarYear,MONTH(JulSun1+7)=7),JulSun1+7,""),IF(AND(YEAR(JulSun1+14)=CalendarYear,MONTH(JulSun1+14)=7),JulSun1+14,""))</f>
        <v>44751</v>
      </c>
      <c r="N21" s="7"/>
      <c r="O21" s="30">
        <f>IF(DAY(AugSun1)=1,IF(AND(YEAR(AugSun1+1)=CalendarYear,MONTH(AugSun1+1)=8),AugSun1+1,""),IF(AND(YEAR(AugSun1+8)=CalendarYear,MONTH(AugSun1+8)=8),AugSun1+8,""))</f>
        <v>44780</v>
      </c>
      <c r="P21" s="30">
        <f>IF(DAY(AugSun1)=1,IF(AND(YEAR(AugSun1+2)=CalendarYear,MONTH(AugSun1+2)=8),AugSun1+2,""),IF(AND(YEAR(AugSun1+9)=CalendarYear,MONTH(AugSun1+9)=8),AugSun1+9,""))</f>
        <v>44781</v>
      </c>
      <c r="Q21" s="30">
        <f>IF(DAY(AugSun1)=1,IF(AND(YEAR(AugSun1+3)=CalendarYear,MONTH(AugSun1+3)=8),AugSun1+3,""),IF(AND(YEAR(AugSun1+10)=CalendarYear,MONTH(AugSun1+10)=8),AugSun1+10,""))</f>
        <v>44782</v>
      </c>
      <c r="R21" s="30">
        <f>IF(DAY(AugSun1)=1,IF(AND(YEAR(AugSun1+4)=CalendarYear,MONTH(AugSun1+4)=8),AugSun1+4,""),IF(AND(YEAR(AugSun1+11)=CalendarYear,MONTH(AugSun1+11)=8),AugSun1+11,""))</f>
        <v>44783</v>
      </c>
      <c r="S21" s="30">
        <f>IF(DAY(AugSun1)=1,IF(AND(YEAR(AugSun1+5)=CalendarYear,MONTH(AugSun1+5)=8),AugSun1+5,""),IF(AND(YEAR(AugSun1+12)=CalendarYear,MONTH(AugSun1+12)=8),AugSun1+12,""))</f>
        <v>44784</v>
      </c>
      <c r="T21" s="30">
        <f>IF(DAY(AugSun1)=1,IF(AND(YEAR(AugSun1+6)=CalendarYear,MONTH(AugSun1+6)=8),AugSun1+6,""),IF(AND(YEAR(AugSun1+13)=CalendarYear,MONTH(AugSun1+13)=8),AugSun1+13,""))</f>
        <v>44785</v>
      </c>
      <c r="U21" s="30">
        <f>IF(DAY(AugSun1)=1,IF(AND(YEAR(AugSun1+7)=CalendarYear,MONTH(AugSun1+7)=8),AugSun1+7,""),IF(AND(YEAR(AugSun1+14)=CalendarYear,MONTH(AugSun1+14)=8),AugSun1+14,""))</f>
        <v>44786</v>
      </c>
      <c r="V21" s="4"/>
      <c r="W21" s="30">
        <f>IF(DAY(SepSun1)=1,IF(AND(YEAR(SepSun1+1)=CalendarYear,MONTH(SepSun1+1)=9),SepSun1+1,""),IF(AND(YEAR(SepSun1+8)=CalendarYear,MONTH(SepSun1+8)=9),SepSun1+8,""))</f>
        <v>44808</v>
      </c>
      <c r="X21" s="30">
        <f>IF(DAY(SepSun1)=1,IF(AND(YEAR(SepSun1+2)=CalendarYear,MONTH(SepSun1+2)=9),SepSun1+2,""),IF(AND(YEAR(SepSun1+9)=CalendarYear,MONTH(SepSun1+9)=9),SepSun1+9,""))</f>
        <v>44809</v>
      </c>
      <c r="Y21" s="30">
        <f>IF(DAY(SepSun1)=1,IF(AND(YEAR(SepSun1+3)=CalendarYear,MONTH(SepSun1+3)=9),SepSun1+3,""),IF(AND(YEAR(SepSun1+10)=CalendarYear,MONTH(SepSun1+10)=9),SepSun1+10,""))</f>
        <v>44810</v>
      </c>
      <c r="Z21" s="30">
        <f>IF(DAY(SepSun1)=1,IF(AND(YEAR(SepSun1+4)=CalendarYear,MONTH(SepSun1+4)=9),SepSun1+4,""),IF(AND(YEAR(SepSun1+11)=CalendarYear,MONTH(SepSun1+11)=9),SepSun1+11,""))</f>
        <v>44811</v>
      </c>
      <c r="AA21" s="30">
        <f>IF(DAY(SepSun1)=1,IF(AND(YEAR(SepSun1+5)=CalendarYear,MONTH(SepSun1+5)=9),SepSun1+5,""),IF(AND(YEAR(SepSun1+12)=CalendarYear,MONTH(SepSun1+12)=9),SepSun1+12,""))</f>
        <v>44812</v>
      </c>
      <c r="AB21" s="30">
        <f>IF(DAY(SepSun1)=1,IF(AND(YEAR(SepSun1+6)=CalendarYear,MONTH(SepSun1+6)=9),SepSun1+6,""),IF(AND(YEAR(SepSun1+13)=CalendarYear,MONTH(SepSun1+13)=9),SepSun1+13,""))</f>
        <v>44813</v>
      </c>
      <c r="AC21" s="30">
        <f>IF(DAY(SepSun1)=1,IF(AND(YEAR(SepSun1+7)=CalendarYear,MONTH(SepSun1+7)=9),SepSun1+7,""),IF(AND(YEAR(SepSun1+14)=CalendarYear,MONTH(SepSun1+14)=9),SepSun1+14,""))</f>
        <v>44814</v>
      </c>
      <c r="AD21" s="4"/>
      <c r="AE21" s="30">
        <f>IF(DAY(OctSun1)=1,IF(AND(YEAR(OctSun1+1)=CalendarYear,MONTH(OctSun1+1)=10),OctSun1+1,""),IF(AND(YEAR(OctSun1+8)=CalendarYear,MONTH(OctSun1+8)=10),OctSun1+8,""))</f>
        <v>44836</v>
      </c>
      <c r="AF21" s="30">
        <f>IF(DAY(OctSun1)=1,IF(AND(YEAR(OctSun1+2)=CalendarYear,MONTH(OctSun1+2)=10),OctSun1+2,""),IF(AND(YEAR(OctSun1+9)=CalendarYear,MONTH(OctSun1+9)=10),OctSun1+9,""))</f>
        <v>44837</v>
      </c>
      <c r="AG21" s="30">
        <f>IF(DAY(OctSun1)=1,IF(AND(YEAR(OctSun1+3)=CalendarYear,MONTH(OctSun1+3)=10),OctSun1+3,""),IF(AND(YEAR(OctSun1+10)=CalendarYear,MONTH(OctSun1+10)=10),OctSun1+10,""))</f>
        <v>44838</v>
      </c>
      <c r="AH21" s="30">
        <f>IF(DAY(OctSun1)=1,IF(AND(YEAR(OctSun1+4)=CalendarYear,MONTH(OctSun1+4)=10),OctSun1+4,""),IF(AND(YEAR(OctSun1+11)=CalendarYear,MONTH(OctSun1+11)=10),OctSun1+11,""))</f>
        <v>44839</v>
      </c>
      <c r="AI21" s="30">
        <f>IF(DAY(OctSun1)=1,IF(AND(YEAR(OctSun1+5)=CalendarYear,MONTH(OctSun1+5)=10),OctSun1+5,""),IF(AND(YEAR(OctSun1+12)=CalendarYear,MONTH(OctSun1+12)=10),OctSun1+12,""))</f>
        <v>44840</v>
      </c>
      <c r="AJ21" s="30">
        <f>IF(DAY(OctSun1)=1,IF(AND(YEAR(OctSun1+6)=CalendarYear,MONTH(OctSun1+6)=10),OctSun1+6,""),IF(AND(YEAR(OctSun1+13)=CalendarYear,MONTH(OctSun1+13)=10),OctSun1+13,""))</f>
        <v>44841</v>
      </c>
      <c r="AK21" s="30">
        <f>IF(DAY(OctSun1)=1,IF(AND(YEAR(OctSun1+7)=CalendarYear,MONTH(OctSun1+7)=10),OctSun1+7,""),IF(AND(YEAR(OctSun1+14)=CalendarYear,MONTH(OctSun1+14)=10),OctSun1+14,""))</f>
        <v>44842</v>
      </c>
      <c r="AL21" s="4"/>
      <c r="AM21" s="30">
        <f>IF(DAY(NovSun1)=1,IF(AND(YEAR(NovSun1+1)=CalendarYear,MONTH(NovSun1+1)=11),NovSun1+1,""),IF(AND(YEAR(NovSun1+8)=CalendarYear,MONTH(NovSun1+8)=11),NovSun1+8,""))</f>
        <v>44871</v>
      </c>
      <c r="AN21" s="30">
        <f>IF(DAY(NovSun1)=1,IF(AND(YEAR(NovSun1+2)=CalendarYear,MONTH(NovSun1+2)=11),NovSun1+2,""),IF(AND(YEAR(NovSun1+9)=CalendarYear,MONTH(NovSun1+9)=11),NovSun1+9,""))</f>
        <v>44872</v>
      </c>
      <c r="AO21" s="30">
        <f>IF(DAY(NovSun1)=1,IF(AND(YEAR(NovSun1+3)=CalendarYear,MONTH(NovSun1+3)=11),NovSun1+3,""),IF(AND(YEAR(NovSun1+10)=CalendarYear,MONTH(NovSun1+10)=11),NovSun1+10,""))</f>
        <v>44873</v>
      </c>
      <c r="AP21" s="30">
        <f>IF(DAY(NovSun1)=1,IF(AND(YEAR(NovSun1+4)=CalendarYear,MONTH(NovSun1+4)=11),NovSun1+4,""),IF(AND(YEAR(NovSun1+11)=CalendarYear,MONTH(NovSun1+11)=11),NovSun1+11,""))</f>
        <v>44874</v>
      </c>
      <c r="AQ21" s="30">
        <f>IF(DAY(NovSun1)=1,IF(AND(YEAR(NovSun1+5)=CalendarYear,MONTH(NovSun1+5)=11),NovSun1+5,""),IF(AND(YEAR(NovSun1+12)=CalendarYear,MONTH(NovSun1+12)=11),NovSun1+12,""))</f>
        <v>44875</v>
      </c>
      <c r="AR21" s="30">
        <f>IF(DAY(NovSun1)=1,IF(AND(YEAR(NovSun1+6)=CalendarYear,MONTH(NovSun1+6)=11),NovSun1+6,""),IF(AND(YEAR(NovSun1+13)=CalendarYear,MONTH(NovSun1+13)=11),NovSun1+13,""))</f>
        <v>44876</v>
      </c>
      <c r="AS21" s="30">
        <f>IF(DAY(NovSun1)=1,IF(AND(YEAR(NovSun1+7)=CalendarYear,MONTH(NovSun1+7)=11),NovSun1+7,""),IF(AND(YEAR(NovSun1+14)=CalendarYear,MONTH(NovSun1+14)=11),NovSun1+14,""))</f>
        <v>44877</v>
      </c>
      <c r="AT21" s="20"/>
      <c r="AU21" s="30">
        <f>IF(DAY(DecSun1)=1,IF(AND(YEAR(DecSun1+1)=CalendarYear,MONTH(DecSun1+1)=12),DecSun1+1,""),IF(AND(YEAR(DecSun1+8)=CalendarYear,MONTH(DecSun1+8)=12),DecSun1+8,""))</f>
        <v>44899</v>
      </c>
      <c r="AV21" s="30">
        <f>IF(DAY(DecSun1)=1,IF(AND(YEAR(DecSun1+2)=CalendarYear,MONTH(DecSun1+2)=12),DecSun1+2,""),IF(AND(YEAR(DecSun1+9)=CalendarYear,MONTH(DecSun1+9)=12),DecSun1+9,""))</f>
        <v>44900</v>
      </c>
      <c r="AW21" s="30">
        <f>IF(DAY(DecSun1)=1,IF(AND(YEAR(DecSun1+3)=CalendarYear,MONTH(DecSun1+3)=12),DecSun1+3,""),IF(AND(YEAR(DecSun1+10)=CalendarYear,MONTH(DecSun1+10)=12),DecSun1+10,""))</f>
        <v>44901</v>
      </c>
      <c r="AX21" s="30">
        <f>IF(DAY(DecSun1)=1,IF(AND(YEAR(DecSun1+4)=CalendarYear,MONTH(DecSun1+4)=12),DecSun1+4,""),IF(AND(YEAR(DecSun1+11)=CalendarYear,MONTH(DecSun1+11)=12),DecSun1+11,""))</f>
        <v>44902</v>
      </c>
      <c r="AY21" s="30">
        <f>IF(DAY(DecSun1)=1,IF(AND(YEAR(DecSun1+5)=CalendarYear,MONTH(DecSun1+5)=12),DecSun1+5,""),IF(AND(YEAR(DecSun1+12)=CalendarYear,MONTH(DecSun1+12)=12),DecSun1+12,""))</f>
        <v>44903</v>
      </c>
      <c r="AZ21" s="30">
        <f>IF(DAY(DecSun1)=1,IF(AND(YEAR(DecSun1+6)=CalendarYear,MONTH(DecSun1+6)=12),DecSun1+6,""),IF(AND(YEAR(DecSun1+13)=CalendarYear,MONTH(DecSun1+13)=12),DecSun1+13,""))</f>
        <v>44904</v>
      </c>
      <c r="BA21" s="34">
        <f>IF(DAY(DecSun1)=1,IF(AND(YEAR(DecSun1+7)=CalendarYear,MONTH(DecSun1+7)=12),DecSun1+7,""),IF(AND(YEAR(DecSun1+14)=CalendarYear,MONTH(DecSun1+14)=12),DecSun1+14,""))</f>
        <v>44905</v>
      </c>
    </row>
    <row r="22" spans="2:53" x14ac:dyDescent="0.25">
      <c r="B22" s="18" t="s">
        <v>27</v>
      </c>
      <c r="C22" s="44">
        <f>WORKDAY(C19,Variables!$B9,'Holidays Dont Touch'!$B$3:$L$35)</f>
        <v>45070</v>
      </c>
      <c r="D22" s="17"/>
      <c r="G22" s="31">
        <f>IF(DAY(JulSun1)=1,IF(AND(YEAR(JulSun1+8)=CalendarYear,MONTH(JulSun1+8)=7),JulSun1+8,""),IF(AND(YEAR(JulSun1+15)=CalendarYear,MONTH(JulSun1+15)=7),JulSun1+15,""))</f>
        <v>44752</v>
      </c>
      <c r="H22" s="30">
        <f>IF(DAY(JulSun1)=1,IF(AND(YEAR(JulSun1+9)=CalendarYear,MONTH(JulSun1+9)=7),JulSun1+9,""),IF(AND(YEAR(JulSun1+16)=CalendarYear,MONTH(JulSun1+16)=7),JulSun1+16,""))</f>
        <v>44753</v>
      </c>
      <c r="I22" s="30">
        <f>IF(DAY(JulSun1)=1,IF(AND(YEAR(JulSun1+10)=CalendarYear,MONTH(JulSun1+10)=7),JulSun1+10,""),IF(AND(YEAR(JulSun1+17)=CalendarYear,MONTH(JulSun1+17)=7),JulSun1+17,""))</f>
        <v>44754</v>
      </c>
      <c r="J22" s="30">
        <f>IF(DAY(JulSun1)=1,IF(AND(YEAR(JulSun1+11)=CalendarYear,MONTH(JulSun1+11)=7),JulSun1+11,""),IF(AND(YEAR(JulSun1+18)=CalendarYear,MONTH(JulSun1+18)=7),JulSun1+18,""))</f>
        <v>44755</v>
      </c>
      <c r="K22" s="30">
        <f>IF(DAY(JulSun1)=1,IF(AND(YEAR(JulSun1+12)=CalendarYear,MONTH(JulSun1+12)=7),JulSun1+12,""),IF(AND(YEAR(JulSun1+19)=CalendarYear,MONTH(JulSun1+19)=7),JulSun1+19,""))</f>
        <v>44756</v>
      </c>
      <c r="L22" s="30">
        <f>IF(DAY(JulSun1)=1,IF(AND(YEAR(JulSun1+13)=CalendarYear,MONTH(JulSun1+13)=7),JulSun1+13,""),IF(AND(YEAR(JulSun1+20)=CalendarYear,MONTH(JulSun1+20)=7),JulSun1+20,""))</f>
        <v>44757</v>
      </c>
      <c r="M22" s="30">
        <f>IF(DAY(JulSun1)=1,IF(AND(YEAR(JulSun1+14)=CalendarYear,MONTH(JulSun1+14)=7),JulSun1+14,""),IF(AND(YEAR(JulSun1+21)=CalendarYear,MONTH(JulSun1+21)=7),JulSun1+21,""))</f>
        <v>44758</v>
      </c>
      <c r="N22" s="8"/>
      <c r="O22" s="30">
        <f>IF(DAY(AugSun1)=1,IF(AND(YEAR(AugSun1+8)=CalendarYear,MONTH(AugSun1+8)=8),AugSun1+8,""),IF(AND(YEAR(AugSun1+15)=CalendarYear,MONTH(AugSun1+15)=8),AugSun1+15,""))</f>
        <v>44787</v>
      </c>
      <c r="P22" s="30">
        <f>IF(DAY(AugSun1)=1,IF(AND(YEAR(AugSun1+9)=CalendarYear,MONTH(AugSun1+9)=8),AugSun1+9,""),IF(AND(YEAR(AugSun1+16)=CalendarYear,MONTH(AugSun1+16)=8),AugSun1+16,""))</f>
        <v>44788</v>
      </c>
      <c r="Q22" s="30">
        <f>IF(DAY(AugSun1)=1,IF(AND(YEAR(AugSun1+10)=CalendarYear,MONTH(AugSun1+10)=8),AugSun1+10,""),IF(AND(YEAR(AugSun1+17)=CalendarYear,MONTH(AugSun1+17)=8),AugSun1+17,""))</f>
        <v>44789</v>
      </c>
      <c r="R22" s="30">
        <f>IF(DAY(AugSun1)=1,IF(AND(YEAR(AugSun1+11)=CalendarYear,MONTH(AugSun1+11)=8),AugSun1+11,""),IF(AND(YEAR(AugSun1+18)=CalendarYear,MONTH(AugSun1+18)=8),AugSun1+18,""))</f>
        <v>44790</v>
      </c>
      <c r="S22" s="30">
        <f>IF(DAY(AugSun1)=1,IF(AND(YEAR(AugSun1+12)=CalendarYear,MONTH(AugSun1+12)=8),AugSun1+12,""),IF(AND(YEAR(AugSun1+19)=CalendarYear,MONTH(AugSun1+19)=8),AugSun1+19,""))</f>
        <v>44791</v>
      </c>
      <c r="T22" s="30">
        <f>IF(DAY(AugSun1)=1,IF(AND(YEAR(AugSun1+13)=CalendarYear,MONTH(AugSun1+13)=8),AugSun1+13,""),IF(AND(YEAR(AugSun1+20)=CalendarYear,MONTH(AugSun1+20)=8),AugSun1+20,""))</f>
        <v>44792</v>
      </c>
      <c r="U22" s="30">
        <f>IF(DAY(AugSun1)=1,IF(AND(YEAR(AugSun1+14)=CalendarYear,MONTH(AugSun1+14)=8),AugSun1+14,""),IF(AND(YEAR(AugSun1+21)=CalendarYear,MONTH(AugSun1+21)=8),AugSun1+21,""))</f>
        <v>44793</v>
      </c>
      <c r="V22" s="4"/>
      <c r="W22" s="30">
        <f>IF(DAY(SepSun1)=1,IF(AND(YEAR(SepSun1+8)=CalendarYear,MONTH(SepSun1+8)=9),SepSun1+8,""),IF(AND(YEAR(SepSun1+15)=CalendarYear,MONTH(SepSun1+15)=9),SepSun1+15,""))</f>
        <v>44815</v>
      </c>
      <c r="X22" s="30">
        <f>IF(DAY(SepSun1)=1,IF(AND(YEAR(SepSun1+9)=CalendarYear,MONTH(SepSun1+9)=9),SepSun1+9,""),IF(AND(YEAR(SepSun1+16)=CalendarYear,MONTH(SepSun1+16)=9),SepSun1+16,""))</f>
        <v>44816</v>
      </c>
      <c r="Y22" s="30">
        <f>IF(DAY(SepSun1)=1,IF(AND(YEAR(SepSun1+10)=CalendarYear,MONTH(SepSun1+10)=9),SepSun1+10,""),IF(AND(YEAR(SepSun1+17)=CalendarYear,MONTH(SepSun1+17)=9),SepSun1+17,""))</f>
        <v>44817</v>
      </c>
      <c r="Z22" s="30">
        <f>IF(DAY(SepSun1)=1,IF(AND(YEAR(SepSun1+11)=CalendarYear,MONTH(SepSun1+11)=9),SepSun1+11,""),IF(AND(YEAR(SepSun1+18)=CalendarYear,MONTH(SepSun1+18)=9),SepSun1+18,""))</f>
        <v>44818</v>
      </c>
      <c r="AA22" s="30">
        <f>IF(DAY(SepSun1)=1,IF(AND(YEAR(SepSun1+12)=CalendarYear,MONTH(SepSun1+12)=9),SepSun1+12,""),IF(AND(YEAR(SepSun1+19)=CalendarYear,MONTH(SepSun1+19)=9),SepSun1+19,""))</f>
        <v>44819</v>
      </c>
      <c r="AB22" s="30">
        <f>IF(DAY(SepSun1)=1,IF(AND(YEAR(SepSun1+13)=CalendarYear,MONTH(SepSun1+13)=9),SepSun1+13,""),IF(AND(YEAR(SepSun1+20)=CalendarYear,MONTH(SepSun1+20)=9),SepSun1+20,""))</f>
        <v>44820</v>
      </c>
      <c r="AC22" s="30">
        <f>IF(DAY(SepSun1)=1,IF(AND(YEAR(SepSun1+14)=CalendarYear,MONTH(SepSun1+14)=9),SepSun1+14,""),IF(AND(YEAR(SepSun1+21)=CalendarYear,MONTH(SepSun1+21)=9),SepSun1+21,""))</f>
        <v>44821</v>
      </c>
      <c r="AD22" s="4"/>
      <c r="AE22" s="30">
        <f>IF(DAY(OctSun1)=1,IF(AND(YEAR(OctSun1+8)=CalendarYear,MONTH(OctSun1+8)=10),OctSun1+8,""),IF(AND(YEAR(OctSun1+15)=CalendarYear,MONTH(OctSun1+15)=10),OctSun1+15,""))</f>
        <v>44843</v>
      </c>
      <c r="AF22" s="30">
        <f>IF(DAY(OctSun1)=1,IF(AND(YEAR(OctSun1+9)=CalendarYear,MONTH(OctSun1+9)=10),OctSun1+9,""),IF(AND(YEAR(OctSun1+16)=CalendarYear,MONTH(OctSun1+16)=10),OctSun1+16,""))</f>
        <v>44844</v>
      </c>
      <c r="AG22" s="30">
        <f>IF(DAY(OctSun1)=1,IF(AND(YEAR(OctSun1+10)=CalendarYear,MONTH(OctSun1+10)=10),OctSun1+10,""),IF(AND(YEAR(OctSun1+17)=CalendarYear,MONTH(OctSun1+17)=10),OctSun1+17,""))</f>
        <v>44845</v>
      </c>
      <c r="AH22" s="30">
        <f>IF(DAY(OctSun1)=1,IF(AND(YEAR(OctSun1+11)=CalendarYear,MONTH(OctSun1+11)=10),OctSun1+11,""),IF(AND(YEAR(OctSun1+18)=CalendarYear,MONTH(OctSun1+18)=10),OctSun1+18,""))</f>
        <v>44846</v>
      </c>
      <c r="AI22" s="30">
        <f>IF(DAY(OctSun1)=1,IF(AND(YEAR(OctSun1+12)=CalendarYear,MONTH(OctSun1+12)=10),OctSun1+12,""),IF(AND(YEAR(OctSun1+19)=CalendarYear,MONTH(OctSun1+19)=10),OctSun1+19,""))</f>
        <v>44847</v>
      </c>
      <c r="AJ22" s="30">
        <f>IF(DAY(OctSun1)=1,IF(AND(YEAR(OctSun1+13)=CalendarYear,MONTH(OctSun1+13)=10),OctSun1+13,""),IF(AND(YEAR(OctSun1+20)=CalendarYear,MONTH(OctSun1+20)=10),OctSun1+20,""))</f>
        <v>44848</v>
      </c>
      <c r="AK22" s="30">
        <f>IF(DAY(OctSun1)=1,IF(AND(YEAR(OctSun1+14)=CalendarYear,MONTH(OctSun1+14)=10),OctSun1+14,""),IF(AND(YEAR(OctSun1+21)=CalendarYear,MONTH(OctSun1+21)=10),OctSun1+21,""))</f>
        <v>44849</v>
      </c>
      <c r="AL22" s="4"/>
      <c r="AM22" s="30">
        <f>IF(DAY(NovSun1)=1,IF(AND(YEAR(NovSun1+8)=CalendarYear,MONTH(NovSun1+8)=11),NovSun1+8,""),IF(AND(YEAR(NovSun1+15)=CalendarYear,MONTH(NovSun1+15)=11),NovSun1+15,""))</f>
        <v>44878</v>
      </c>
      <c r="AN22" s="30">
        <f>IF(DAY(NovSun1)=1,IF(AND(YEAR(NovSun1+9)=CalendarYear,MONTH(NovSun1+9)=11),NovSun1+9,""),IF(AND(YEAR(NovSun1+16)=CalendarYear,MONTH(NovSun1+16)=11),NovSun1+16,""))</f>
        <v>44879</v>
      </c>
      <c r="AO22" s="30">
        <f>IF(DAY(NovSun1)=1,IF(AND(YEAR(NovSun1+10)=CalendarYear,MONTH(NovSun1+10)=11),NovSun1+10,""),IF(AND(YEAR(NovSun1+17)=CalendarYear,MONTH(NovSun1+17)=11),NovSun1+17,""))</f>
        <v>44880</v>
      </c>
      <c r="AP22" s="30">
        <f>IF(DAY(NovSun1)=1,IF(AND(YEAR(NovSun1+11)=CalendarYear,MONTH(NovSun1+11)=11),NovSun1+11,""),IF(AND(YEAR(NovSun1+18)=CalendarYear,MONTH(NovSun1+18)=11),NovSun1+18,""))</f>
        <v>44881</v>
      </c>
      <c r="AQ22" s="30">
        <f>IF(DAY(NovSun1)=1,IF(AND(YEAR(NovSun1+12)=CalendarYear,MONTH(NovSun1+12)=11),NovSun1+12,""),IF(AND(YEAR(NovSun1+19)=CalendarYear,MONTH(NovSun1+19)=11),NovSun1+19,""))</f>
        <v>44882</v>
      </c>
      <c r="AR22" s="30">
        <f>IF(DAY(NovSun1)=1,IF(AND(YEAR(NovSun1+13)=CalendarYear,MONTH(NovSun1+13)=11),NovSun1+13,""),IF(AND(YEAR(NovSun1+20)=CalendarYear,MONTH(NovSun1+20)=11),NovSun1+20,""))</f>
        <v>44883</v>
      </c>
      <c r="AS22" s="30">
        <f>IF(DAY(NovSun1)=1,IF(AND(YEAR(NovSun1+14)=CalendarYear,MONTH(NovSun1+14)=11),NovSun1+14,""),IF(AND(YEAR(NovSun1+21)=CalendarYear,MONTH(NovSun1+21)=11),NovSun1+21,""))</f>
        <v>44884</v>
      </c>
      <c r="AT22" s="20"/>
      <c r="AU22" s="30">
        <f>IF(DAY(DecSun1)=1,IF(AND(YEAR(DecSun1+8)=CalendarYear,MONTH(DecSun1+8)=12),DecSun1+8,""),IF(AND(YEAR(DecSun1+15)=CalendarYear,MONTH(DecSun1+15)=12),DecSun1+15,""))</f>
        <v>44906</v>
      </c>
      <c r="AV22" s="30">
        <f>IF(DAY(DecSun1)=1,IF(AND(YEAR(DecSun1+9)=CalendarYear,MONTH(DecSun1+9)=12),DecSun1+9,""),IF(AND(YEAR(DecSun1+16)=CalendarYear,MONTH(DecSun1+16)=12),DecSun1+16,""))</f>
        <v>44907</v>
      </c>
      <c r="AW22" s="30">
        <f>IF(DAY(DecSun1)=1,IF(AND(YEAR(DecSun1+10)=CalendarYear,MONTH(DecSun1+10)=12),DecSun1+10,""),IF(AND(YEAR(DecSun1+17)=CalendarYear,MONTH(DecSun1+17)=12),DecSun1+17,""))</f>
        <v>44908</v>
      </c>
      <c r="AX22" s="30">
        <f>IF(DAY(DecSun1)=1,IF(AND(YEAR(DecSun1+11)=CalendarYear,MONTH(DecSun1+11)=12),DecSun1+11,""),IF(AND(YEAR(DecSun1+18)=CalendarYear,MONTH(DecSun1+18)=12),DecSun1+18,""))</f>
        <v>44909</v>
      </c>
      <c r="AY22" s="30">
        <f>IF(DAY(DecSun1)=1,IF(AND(YEAR(DecSun1+12)=CalendarYear,MONTH(DecSun1+12)=12),DecSun1+12,""),IF(AND(YEAR(DecSun1+19)=CalendarYear,MONTH(DecSun1+19)=12),DecSun1+19,""))</f>
        <v>44910</v>
      </c>
      <c r="AZ22" s="30">
        <f>IF(DAY(DecSun1)=1,IF(AND(YEAR(DecSun1+13)=CalendarYear,MONTH(DecSun1+13)=12),DecSun1+13,""),IF(AND(YEAR(DecSun1+20)=CalendarYear,MONTH(DecSun1+20)=12),DecSun1+20,""))</f>
        <v>44911</v>
      </c>
      <c r="BA22" s="34">
        <f>IF(DAY(DecSun1)=1,IF(AND(YEAR(DecSun1+14)=CalendarYear,MONTH(DecSun1+14)=12),DecSun1+14,""),IF(AND(YEAR(DecSun1+21)=CalendarYear,MONTH(DecSun1+21)=12),DecSun1+21,""))</f>
        <v>44912</v>
      </c>
    </row>
    <row r="23" spans="2:53" x14ac:dyDescent="0.25">
      <c r="B23" s="18" t="s">
        <v>9</v>
      </c>
      <c r="C23" s="44">
        <f>WORKDAY(C22,Variables!$B10,'Holidays Dont Touch'!$B$3:$L$35)</f>
        <v>45078</v>
      </c>
      <c r="D23" s="14"/>
      <c r="G23" s="31">
        <f>IF(DAY(JulSun1)=1,IF(AND(YEAR(JulSun1+15)=CalendarYear,MONTH(JulSun1+15)=7),JulSun1+15,""),IF(AND(YEAR(JulSun1+22)=CalendarYear,MONTH(JulSun1+22)=7),JulSun1+22,""))</f>
        <v>44759</v>
      </c>
      <c r="H23" s="30">
        <f>IF(DAY(JulSun1)=1,IF(AND(YEAR(JulSun1+16)=CalendarYear,MONTH(JulSun1+16)=7),JulSun1+16,""),IF(AND(YEAR(JulSun1+23)=CalendarYear,MONTH(JulSun1+23)=7),JulSun1+23,""))</f>
        <v>44760</v>
      </c>
      <c r="I23" s="30">
        <f>IF(DAY(JulSun1)=1,IF(AND(YEAR(JulSun1+17)=CalendarYear,MONTH(JulSun1+17)=7),JulSun1+17,""),IF(AND(YEAR(JulSun1+24)=CalendarYear,MONTH(JulSun1+24)=7),JulSun1+24,""))</f>
        <v>44761</v>
      </c>
      <c r="J23" s="30">
        <f>IF(DAY(JulSun1)=1,IF(AND(YEAR(JulSun1+18)=CalendarYear,MONTH(JulSun1+18)=7),JulSun1+18,""),IF(AND(YEAR(JulSun1+25)=CalendarYear,MONTH(JulSun1+25)=7),JulSun1+25,""))</f>
        <v>44762</v>
      </c>
      <c r="K23" s="30">
        <f>IF(DAY(JulSun1)=1,IF(AND(YEAR(JulSun1+19)=CalendarYear,MONTH(JulSun1+19)=7),JulSun1+19,""),IF(AND(YEAR(JulSun1+26)=CalendarYear,MONTH(JulSun1+26)=7),JulSun1+26,""))</f>
        <v>44763</v>
      </c>
      <c r="L23" s="30">
        <f>IF(DAY(JulSun1)=1,IF(AND(YEAR(JulSun1+20)=CalendarYear,MONTH(JulSun1+20)=7),JulSun1+20,""),IF(AND(YEAR(JulSun1+27)=CalendarYear,MONTH(JulSun1+27)=7),JulSun1+27,""))</f>
        <v>44764</v>
      </c>
      <c r="M23" s="30">
        <f>IF(DAY(JulSun1)=1,IF(AND(YEAR(JulSun1+21)=CalendarYear,MONTH(JulSun1+21)=7),JulSun1+21,""),IF(AND(YEAR(JulSun1+28)=CalendarYear,MONTH(JulSun1+28)=7),JulSun1+28,""))</f>
        <v>44765</v>
      </c>
      <c r="N23" s="8"/>
      <c r="O23" s="30">
        <f>IF(DAY(AugSun1)=1,IF(AND(YEAR(AugSun1+15)=CalendarYear,MONTH(AugSun1+15)=8),AugSun1+15,""),IF(AND(YEAR(AugSun1+22)=CalendarYear,MONTH(AugSun1+22)=8),AugSun1+22,""))</f>
        <v>44794</v>
      </c>
      <c r="P23" s="30">
        <f>IF(DAY(AugSun1)=1,IF(AND(YEAR(AugSun1+16)=CalendarYear,MONTH(AugSun1+16)=8),AugSun1+16,""),IF(AND(YEAR(AugSun1+23)=CalendarYear,MONTH(AugSun1+23)=8),AugSun1+23,""))</f>
        <v>44795</v>
      </c>
      <c r="Q23" s="30">
        <f>IF(DAY(AugSun1)=1,IF(AND(YEAR(AugSun1+17)=CalendarYear,MONTH(AugSun1+17)=8),AugSun1+17,""),IF(AND(YEAR(AugSun1+24)=CalendarYear,MONTH(AugSun1+24)=8),AugSun1+24,""))</f>
        <v>44796</v>
      </c>
      <c r="R23" s="30">
        <f>IF(DAY(AugSun1)=1,IF(AND(YEAR(AugSun1+18)=CalendarYear,MONTH(AugSun1+18)=8),AugSun1+18,""),IF(AND(YEAR(AugSun1+25)=CalendarYear,MONTH(AugSun1+25)=8),AugSun1+25,""))</f>
        <v>44797</v>
      </c>
      <c r="S23" s="30">
        <f>IF(DAY(AugSun1)=1,IF(AND(YEAR(AugSun1+19)=CalendarYear,MONTH(AugSun1+19)=8),AugSun1+19,""),IF(AND(YEAR(AugSun1+26)=CalendarYear,MONTH(AugSun1+26)=8),AugSun1+26,""))</f>
        <v>44798</v>
      </c>
      <c r="T23" s="30">
        <f>IF(DAY(AugSun1)=1,IF(AND(YEAR(AugSun1+20)=CalendarYear,MONTH(AugSun1+20)=8),AugSun1+20,""),IF(AND(YEAR(AugSun1+27)=CalendarYear,MONTH(AugSun1+27)=8),AugSun1+27,""))</f>
        <v>44799</v>
      </c>
      <c r="U23" s="30">
        <f>IF(DAY(AugSun1)=1,IF(AND(YEAR(AugSun1+21)=CalendarYear,MONTH(AugSun1+21)=8),AugSun1+21,""),IF(AND(YEAR(AugSun1+28)=CalendarYear,MONTH(AugSun1+28)=8),AugSun1+28,""))</f>
        <v>44800</v>
      </c>
      <c r="V23" s="4"/>
      <c r="W23" s="30">
        <f>IF(DAY(SepSun1)=1,IF(AND(YEAR(SepSun1+15)=CalendarYear,MONTH(SepSun1+15)=9),SepSun1+15,""),IF(AND(YEAR(SepSun1+22)=CalendarYear,MONTH(SepSun1+22)=9),SepSun1+22,""))</f>
        <v>44822</v>
      </c>
      <c r="X23" s="30">
        <f>IF(DAY(SepSun1)=1,IF(AND(YEAR(SepSun1+16)=CalendarYear,MONTH(SepSun1+16)=9),SepSun1+16,""),IF(AND(YEAR(SepSun1+23)=CalendarYear,MONTH(SepSun1+23)=9),SepSun1+23,""))</f>
        <v>44823</v>
      </c>
      <c r="Y23" s="30">
        <f>IF(DAY(SepSun1)=1,IF(AND(YEAR(SepSun1+17)=CalendarYear,MONTH(SepSun1+17)=9),SepSun1+17,""),IF(AND(YEAR(SepSun1+24)=CalendarYear,MONTH(SepSun1+24)=9),SepSun1+24,""))</f>
        <v>44824</v>
      </c>
      <c r="Z23" s="30">
        <f>IF(DAY(SepSun1)=1,IF(AND(YEAR(SepSun1+18)=CalendarYear,MONTH(SepSun1+18)=9),SepSun1+18,""),IF(AND(YEAR(SepSun1+25)=CalendarYear,MONTH(SepSun1+25)=9),SepSun1+25,""))</f>
        <v>44825</v>
      </c>
      <c r="AA23" s="30">
        <f>IF(DAY(SepSun1)=1,IF(AND(YEAR(SepSun1+19)=CalendarYear,MONTH(SepSun1+19)=9),SepSun1+19,""),IF(AND(YEAR(SepSun1+26)=CalendarYear,MONTH(SepSun1+26)=9),SepSun1+26,""))</f>
        <v>44826</v>
      </c>
      <c r="AB23" s="30">
        <f>IF(DAY(SepSun1)=1,IF(AND(YEAR(SepSun1+20)=CalendarYear,MONTH(SepSun1+20)=9),SepSun1+20,""),IF(AND(YEAR(SepSun1+27)=CalendarYear,MONTH(SepSun1+27)=9),SepSun1+27,""))</f>
        <v>44827</v>
      </c>
      <c r="AC23" s="30">
        <f>IF(DAY(SepSun1)=1,IF(AND(YEAR(SepSun1+21)=CalendarYear,MONTH(SepSun1+21)=9),SepSun1+21,""),IF(AND(YEAR(SepSun1+28)=CalendarYear,MONTH(SepSun1+28)=9),SepSun1+28,""))</f>
        <v>44828</v>
      </c>
      <c r="AD23" s="4"/>
      <c r="AE23" s="30">
        <f>IF(DAY(OctSun1)=1,IF(AND(YEAR(OctSun1+15)=CalendarYear,MONTH(OctSun1+15)=10),OctSun1+15,""),IF(AND(YEAR(OctSun1+22)=CalendarYear,MONTH(OctSun1+22)=10),OctSun1+22,""))</f>
        <v>44850</v>
      </c>
      <c r="AF23" s="30">
        <f>IF(DAY(OctSun1)=1,IF(AND(YEAR(OctSun1+16)=CalendarYear,MONTH(OctSun1+16)=10),OctSun1+16,""),IF(AND(YEAR(OctSun1+23)=CalendarYear,MONTH(OctSun1+23)=10),OctSun1+23,""))</f>
        <v>44851</v>
      </c>
      <c r="AG23" s="30">
        <f>IF(DAY(OctSun1)=1,IF(AND(YEAR(OctSun1+17)=CalendarYear,MONTH(OctSun1+17)=10),OctSun1+17,""),IF(AND(YEAR(OctSun1+24)=CalendarYear,MONTH(OctSun1+24)=10),OctSun1+24,""))</f>
        <v>44852</v>
      </c>
      <c r="AH23" s="30">
        <f>IF(DAY(OctSun1)=1,IF(AND(YEAR(OctSun1+18)=CalendarYear,MONTH(OctSun1+18)=10),OctSun1+18,""),IF(AND(YEAR(OctSun1+25)=CalendarYear,MONTH(OctSun1+25)=10),OctSun1+25,""))</f>
        <v>44853</v>
      </c>
      <c r="AI23" s="30">
        <f>IF(DAY(OctSun1)=1,IF(AND(YEAR(OctSun1+19)=CalendarYear,MONTH(OctSun1+19)=10),OctSun1+19,""),IF(AND(YEAR(OctSun1+26)=CalendarYear,MONTH(OctSun1+26)=10),OctSun1+26,""))</f>
        <v>44854</v>
      </c>
      <c r="AJ23" s="30">
        <f>IF(DAY(OctSun1)=1,IF(AND(YEAR(OctSun1+20)=CalendarYear,MONTH(OctSun1+20)=10),OctSun1+20,""),IF(AND(YEAR(OctSun1+27)=CalendarYear,MONTH(OctSun1+27)=10),OctSun1+27,""))</f>
        <v>44855</v>
      </c>
      <c r="AK23" s="30">
        <f>IF(DAY(OctSun1)=1,IF(AND(YEAR(OctSun1+21)=CalendarYear,MONTH(OctSun1+21)=10),OctSun1+21,""),IF(AND(YEAR(OctSun1+28)=CalendarYear,MONTH(OctSun1+28)=10),OctSun1+28,""))</f>
        <v>44856</v>
      </c>
      <c r="AL23" s="4"/>
      <c r="AM23" s="30">
        <f>IF(DAY(NovSun1)=1,IF(AND(YEAR(NovSun1+15)=CalendarYear,MONTH(NovSun1+15)=11),NovSun1+15,""),IF(AND(YEAR(NovSun1+22)=CalendarYear,MONTH(NovSun1+22)=11),NovSun1+22,""))</f>
        <v>44885</v>
      </c>
      <c r="AN23" s="30">
        <f>IF(DAY(NovSun1)=1,IF(AND(YEAR(NovSun1+16)=CalendarYear,MONTH(NovSun1+16)=11),NovSun1+16,""),IF(AND(YEAR(NovSun1+23)=CalendarYear,MONTH(NovSun1+23)=11),NovSun1+23,""))</f>
        <v>44886</v>
      </c>
      <c r="AO23" s="30">
        <f>IF(DAY(NovSun1)=1,IF(AND(YEAR(NovSun1+17)=CalendarYear,MONTH(NovSun1+17)=11),NovSun1+17,""),IF(AND(YEAR(NovSun1+24)=CalendarYear,MONTH(NovSun1+24)=11),NovSun1+24,""))</f>
        <v>44887</v>
      </c>
      <c r="AP23" s="30">
        <f>IF(DAY(NovSun1)=1,IF(AND(YEAR(NovSun1+18)=CalendarYear,MONTH(NovSun1+18)=11),NovSun1+18,""),IF(AND(YEAR(NovSun1+25)=CalendarYear,MONTH(NovSun1+25)=11),NovSun1+25,""))</f>
        <v>44888</v>
      </c>
      <c r="AQ23" s="30">
        <f>IF(DAY(NovSun1)=1,IF(AND(YEAR(NovSun1+19)=CalendarYear,MONTH(NovSun1+19)=11),NovSun1+19,""),IF(AND(YEAR(NovSun1+26)=CalendarYear,MONTH(NovSun1+26)=11),NovSun1+26,""))</f>
        <v>44889</v>
      </c>
      <c r="AR23" s="30">
        <f>IF(DAY(NovSun1)=1,IF(AND(YEAR(NovSun1+20)=CalendarYear,MONTH(NovSun1+20)=11),NovSun1+20,""),IF(AND(YEAR(NovSun1+27)=CalendarYear,MONTH(NovSun1+27)=11),NovSun1+27,""))</f>
        <v>44890</v>
      </c>
      <c r="AS23" s="30">
        <f>IF(DAY(NovSun1)=1,IF(AND(YEAR(NovSun1+21)=CalendarYear,MONTH(NovSun1+21)=11),NovSun1+21,""),IF(AND(YEAR(NovSun1+28)=CalendarYear,MONTH(NovSun1+28)=11),NovSun1+28,""))</f>
        <v>44891</v>
      </c>
      <c r="AT23" s="20"/>
      <c r="AU23" s="30">
        <f>IF(DAY(DecSun1)=1,IF(AND(YEAR(DecSun1+15)=CalendarYear,MONTH(DecSun1+15)=12),DecSun1+15,""),IF(AND(YEAR(DecSun1+22)=CalendarYear,MONTH(DecSun1+22)=12),DecSun1+22,""))</f>
        <v>44913</v>
      </c>
      <c r="AV23" s="30">
        <f>IF(DAY(DecSun1)=1,IF(AND(YEAR(DecSun1+16)=CalendarYear,MONTH(DecSun1+16)=12),DecSun1+16,""),IF(AND(YEAR(DecSun1+23)=CalendarYear,MONTH(DecSun1+23)=12),DecSun1+23,""))</f>
        <v>44914</v>
      </c>
      <c r="AW23" s="30">
        <f>IF(DAY(DecSun1)=1,IF(AND(YEAR(DecSun1+17)=CalendarYear,MONTH(DecSun1+17)=12),DecSun1+17,""),IF(AND(YEAR(DecSun1+24)=CalendarYear,MONTH(DecSun1+24)=12),DecSun1+24,""))</f>
        <v>44915</v>
      </c>
      <c r="AX23" s="30">
        <f>IF(DAY(DecSun1)=1,IF(AND(YEAR(DecSun1+18)=CalendarYear,MONTH(DecSun1+18)=12),DecSun1+18,""),IF(AND(YEAR(DecSun1+25)=CalendarYear,MONTH(DecSun1+25)=12),DecSun1+25,""))</f>
        <v>44916</v>
      </c>
      <c r="AY23" s="30">
        <f>IF(DAY(DecSun1)=1,IF(AND(YEAR(DecSun1+19)=CalendarYear,MONTH(DecSun1+19)=12),DecSun1+19,""),IF(AND(YEAR(DecSun1+26)=CalendarYear,MONTH(DecSun1+26)=12),DecSun1+26,""))</f>
        <v>44917</v>
      </c>
      <c r="AZ23" s="30">
        <f>IF(DAY(DecSun1)=1,IF(AND(YEAR(DecSun1+20)=CalendarYear,MONTH(DecSun1+20)=12),DecSun1+20,""),IF(AND(YEAR(DecSun1+27)=CalendarYear,MONTH(DecSun1+27)=12),DecSun1+27,""))</f>
        <v>44918</v>
      </c>
      <c r="BA23" s="34">
        <f>IF(DAY(DecSun1)=1,IF(AND(YEAR(DecSun1+21)=CalendarYear,MONTH(DecSun1+21)=12),DecSun1+21,""),IF(AND(YEAR(DecSun1+28)=CalendarYear,MONTH(DecSun1+28)=12),DecSun1+28,""))</f>
        <v>44919</v>
      </c>
    </row>
    <row r="24" spans="2:53" x14ac:dyDescent="0.25">
      <c r="B24" s="18" t="s">
        <v>10</v>
      </c>
      <c r="C24" s="44">
        <f>WORKDAY(C23,Variables!$B11,'Holidays Dont Touch'!$B$3:$L$35)</f>
        <v>45124</v>
      </c>
      <c r="D24" s="15"/>
      <c r="G24" s="31">
        <f>IF(DAY(JulSun1)=1,IF(AND(YEAR(JulSun1+22)=CalendarYear,MONTH(JulSun1+22)=7),JulSun1+22,""),IF(AND(YEAR(JulSun1+29)=CalendarYear,MONTH(JulSun1+29)=7),JulSun1+29,""))</f>
        <v>44766</v>
      </c>
      <c r="H24" s="30">
        <f>IF(DAY(JulSun1)=1,IF(AND(YEAR(JulSun1+23)=CalendarYear,MONTH(JulSun1+23)=7),JulSun1+23,""),IF(AND(YEAR(JulSun1+30)=CalendarYear,MONTH(JulSun1+30)=7),JulSun1+30,""))</f>
        <v>44767</v>
      </c>
      <c r="I24" s="30">
        <f>IF(DAY(JulSun1)=1,IF(AND(YEAR(JulSun1+24)=CalendarYear,MONTH(JulSun1+24)=7),JulSun1+24,""),IF(AND(YEAR(JulSun1+31)=CalendarYear,MONTH(JulSun1+31)=7),JulSun1+31,""))</f>
        <v>44768</v>
      </c>
      <c r="J24" s="30">
        <f>IF(DAY(JulSun1)=1,IF(AND(YEAR(JulSun1+25)=CalendarYear,MONTH(JulSun1+25)=7),JulSun1+25,""),IF(AND(YEAR(JulSun1+32)=CalendarYear,MONTH(JulSun1+32)=7),JulSun1+32,""))</f>
        <v>44769</v>
      </c>
      <c r="K24" s="30">
        <f>IF(DAY(JulSun1)=1,IF(AND(YEAR(JulSun1+26)=CalendarYear,MONTH(JulSun1+26)=7),JulSun1+26,""),IF(AND(YEAR(JulSun1+33)=CalendarYear,MONTH(JulSun1+33)=7),JulSun1+33,""))</f>
        <v>44770</v>
      </c>
      <c r="L24" s="30">
        <f>IF(DAY(JulSun1)=1,IF(AND(YEAR(JulSun1+27)=CalendarYear,MONTH(JulSun1+27)=7),JulSun1+27,""),IF(AND(YEAR(JulSun1+34)=CalendarYear,MONTH(JulSun1+34)=7),JulSun1+34,""))</f>
        <v>44771</v>
      </c>
      <c r="M24" s="30">
        <f>IF(DAY(JulSun1)=1,IF(AND(YEAR(JulSun1+28)=CalendarYear,MONTH(JulSun1+28)=7),JulSun1+28,""),IF(AND(YEAR(JulSun1+35)=CalendarYear,MONTH(JulSun1+35)=7),JulSun1+35,""))</f>
        <v>44772</v>
      </c>
      <c r="N24" s="8"/>
      <c r="O24" s="30">
        <f>IF(DAY(AugSun1)=1,IF(AND(YEAR(AugSun1+22)=CalendarYear,MONTH(AugSun1+22)=8),AugSun1+22,""),IF(AND(YEAR(AugSun1+29)=CalendarYear,MONTH(AugSun1+29)=8),AugSun1+29,""))</f>
        <v>44801</v>
      </c>
      <c r="P24" s="30">
        <f>IF(DAY(AugSun1)=1,IF(AND(YEAR(AugSun1+23)=CalendarYear,MONTH(AugSun1+23)=8),AugSun1+23,""),IF(AND(YEAR(AugSun1+30)=CalendarYear,MONTH(AugSun1+30)=8),AugSun1+30,""))</f>
        <v>44802</v>
      </c>
      <c r="Q24" s="30">
        <f>IF(DAY(AugSun1)=1,IF(AND(YEAR(AugSun1+24)=CalendarYear,MONTH(AugSun1+24)=8),AugSun1+24,""),IF(AND(YEAR(AugSun1+31)=CalendarYear,MONTH(AugSun1+31)=8),AugSun1+31,""))</f>
        <v>44803</v>
      </c>
      <c r="R24" s="30">
        <f>IF(DAY(AugSun1)=1,IF(AND(YEAR(AugSun1+25)=CalendarYear,MONTH(AugSun1+25)=8),AugSun1+25,""),IF(AND(YEAR(AugSun1+32)=CalendarYear,MONTH(AugSun1+32)=8),AugSun1+32,""))</f>
        <v>44804</v>
      </c>
      <c r="S24" s="30" t="str">
        <f>IF(DAY(AugSun1)=1,IF(AND(YEAR(AugSun1+26)=CalendarYear,MONTH(AugSun1+26)=8),AugSun1+26,""),IF(AND(YEAR(AugSun1+33)=CalendarYear,MONTH(AugSun1+33)=8),AugSun1+33,""))</f>
        <v/>
      </c>
      <c r="T24" s="30" t="str">
        <f>IF(DAY(AugSun1)=1,IF(AND(YEAR(AugSun1+27)=CalendarYear,MONTH(AugSun1+27)=8),AugSun1+27,""),IF(AND(YEAR(AugSun1+34)=CalendarYear,MONTH(AugSun1+34)=8),AugSun1+34,""))</f>
        <v/>
      </c>
      <c r="U24" s="30" t="str">
        <f>IF(DAY(AugSun1)=1,IF(AND(YEAR(AugSun1+28)=CalendarYear,MONTH(AugSun1+28)=8),AugSun1+28,""),IF(AND(YEAR(AugSun1+35)=CalendarYear,MONTH(AugSun1+35)=8),AugSun1+35,""))</f>
        <v/>
      </c>
      <c r="V24" s="4"/>
      <c r="W24" s="30">
        <f>IF(DAY(SepSun1)=1,IF(AND(YEAR(SepSun1+22)=CalendarYear,MONTH(SepSun1+22)=9),SepSun1+22,""),IF(AND(YEAR(SepSun1+29)=CalendarYear,MONTH(SepSun1+29)=9),SepSun1+29,""))</f>
        <v>44829</v>
      </c>
      <c r="X24" s="30">
        <f>IF(DAY(SepSun1)=1,IF(AND(YEAR(SepSun1+23)=CalendarYear,MONTH(SepSun1+23)=9),SepSun1+23,""),IF(AND(YEAR(SepSun1+30)=CalendarYear,MONTH(SepSun1+30)=9),SepSun1+30,""))</f>
        <v>44830</v>
      </c>
      <c r="Y24" s="30">
        <f>IF(DAY(SepSun1)=1,IF(AND(YEAR(SepSun1+24)=CalendarYear,MONTH(SepSun1+24)=9),SepSun1+24,""),IF(AND(YEAR(SepSun1+31)=CalendarYear,MONTH(SepSun1+31)=9),SepSun1+31,""))</f>
        <v>44831</v>
      </c>
      <c r="Z24" s="30">
        <f>IF(DAY(SepSun1)=1,IF(AND(YEAR(SepSun1+25)=CalendarYear,MONTH(SepSun1+25)=9),SepSun1+25,""),IF(AND(YEAR(SepSun1+32)=CalendarYear,MONTH(SepSun1+32)=9),SepSun1+32,""))</f>
        <v>44832</v>
      </c>
      <c r="AA24" s="30">
        <f>IF(DAY(SepSun1)=1,IF(AND(YEAR(SepSun1+26)=CalendarYear,MONTH(SepSun1+26)=9),SepSun1+26,""),IF(AND(YEAR(SepSun1+33)=CalendarYear,MONTH(SepSun1+33)=9),SepSun1+33,""))</f>
        <v>44833</v>
      </c>
      <c r="AB24" s="30">
        <f>IF(DAY(SepSun1)=1,IF(AND(YEAR(SepSun1+27)=CalendarYear,MONTH(SepSun1+27)=9),SepSun1+27,""),IF(AND(YEAR(SepSun1+34)=CalendarYear,MONTH(SepSun1+34)=9),SepSun1+34,""))</f>
        <v>44834</v>
      </c>
      <c r="AC24" s="30" t="str">
        <f>IF(DAY(SepSun1)=1,IF(AND(YEAR(SepSun1+28)=CalendarYear,MONTH(SepSun1+28)=9),SepSun1+28,""),IF(AND(YEAR(SepSun1+35)=CalendarYear,MONTH(SepSun1+35)=9),SepSun1+35,""))</f>
        <v/>
      </c>
      <c r="AD24" s="4"/>
      <c r="AE24" s="30">
        <f>IF(DAY(OctSun1)=1,IF(AND(YEAR(OctSun1+22)=CalendarYear,MONTH(OctSun1+22)=10),OctSun1+22,""),IF(AND(YEAR(OctSun1+29)=CalendarYear,MONTH(OctSun1+29)=10),OctSun1+29,""))</f>
        <v>44857</v>
      </c>
      <c r="AF24" s="30">
        <f>IF(DAY(OctSun1)=1,IF(AND(YEAR(OctSun1+23)=CalendarYear,MONTH(OctSun1+23)=10),OctSun1+23,""),IF(AND(YEAR(OctSun1+30)=CalendarYear,MONTH(OctSun1+30)=10),OctSun1+30,""))</f>
        <v>44858</v>
      </c>
      <c r="AG24" s="30">
        <f>IF(DAY(OctSun1)=1,IF(AND(YEAR(OctSun1+24)=CalendarYear,MONTH(OctSun1+24)=10),OctSun1+24,""),IF(AND(YEAR(OctSun1+31)=CalendarYear,MONTH(OctSun1+31)=10),OctSun1+31,""))</f>
        <v>44859</v>
      </c>
      <c r="AH24" s="30">
        <f>IF(DAY(OctSun1)=1,IF(AND(YEAR(OctSun1+25)=CalendarYear,MONTH(OctSun1+25)=10),OctSun1+25,""),IF(AND(YEAR(OctSun1+32)=CalendarYear,MONTH(OctSun1+32)=10),OctSun1+32,""))</f>
        <v>44860</v>
      </c>
      <c r="AI24" s="30">
        <f>IF(DAY(OctSun1)=1,IF(AND(YEAR(OctSun1+26)=CalendarYear,MONTH(OctSun1+26)=10),OctSun1+26,""),IF(AND(YEAR(OctSun1+33)=CalendarYear,MONTH(OctSun1+33)=10),OctSun1+33,""))</f>
        <v>44861</v>
      </c>
      <c r="AJ24" s="30">
        <f>IF(DAY(OctSun1)=1,IF(AND(YEAR(OctSun1+27)=CalendarYear,MONTH(OctSun1+27)=10),OctSun1+27,""),IF(AND(YEAR(OctSun1+34)=CalendarYear,MONTH(OctSun1+34)=10),OctSun1+34,""))</f>
        <v>44862</v>
      </c>
      <c r="AK24" s="30">
        <f>IF(DAY(OctSun1)=1,IF(AND(YEAR(OctSun1+28)=CalendarYear,MONTH(OctSun1+28)=10),OctSun1+28,""),IF(AND(YEAR(OctSun1+35)=CalendarYear,MONTH(OctSun1+35)=10),OctSun1+35,""))</f>
        <v>44863</v>
      </c>
      <c r="AL24" s="4"/>
      <c r="AM24" s="30">
        <f>IF(DAY(NovSun1)=1,IF(AND(YEAR(NovSun1+22)=CalendarYear,MONTH(NovSun1+22)=11),NovSun1+22,""),IF(AND(YEAR(NovSun1+29)=CalendarYear,MONTH(NovSun1+29)=11),NovSun1+29,""))</f>
        <v>44892</v>
      </c>
      <c r="AN24" s="30">
        <f>IF(DAY(NovSun1)=1,IF(AND(YEAR(NovSun1+23)=CalendarYear,MONTH(NovSun1+23)=11),NovSun1+23,""),IF(AND(YEAR(NovSun1+30)=CalendarYear,MONTH(NovSun1+30)=11),NovSun1+30,""))</f>
        <v>44893</v>
      </c>
      <c r="AO24" s="30">
        <f>IF(DAY(NovSun1)=1,IF(AND(YEAR(NovSun1+24)=CalendarYear,MONTH(NovSun1+24)=11),NovSun1+24,""),IF(AND(YEAR(NovSun1+31)=CalendarYear,MONTH(NovSun1+31)=11),NovSun1+31,""))</f>
        <v>44894</v>
      </c>
      <c r="AP24" s="30">
        <f>IF(DAY(NovSun1)=1,IF(AND(YEAR(NovSun1+25)=CalendarYear,MONTH(NovSun1+25)=11),NovSun1+25,""),IF(AND(YEAR(NovSun1+32)=CalendarYear,MONTH(NovSun1+32)=11),NovSun1+32,""))</f>
        <v>44895</v>
      </c>
      <c r="AQ24" s="30" t="str">
        <f>IF(DAY(NovSun1)=1,IF(AND(YEAR(NovSun1+26)=CalendarYear,MONTH(NovSun1+26)=11),NovSun1+26,""),IF(AND(YEAR(NovSun1+33)=CalendarYear,MONTH(NovSun1+33)=11),NovSun1+33,""))</f>
        <v/>
      </c>
      <c r="AR24" s="30" t="str">
        <f>IF(DAY(NovSun1)=1,IF(AND(YEAR(NovSun1+27)=CalendarYear,MONTH(NovSun1+27)=11),NovSun1+27,""),IF(AND(YEAR(NovSun1+34)=CalendarYear,MONTH(NovSun1+34)=11),NovSun1+34,""))</f>
        <v/>
      </c>
      <c r="AS24" s="30" t="str">
        <f>IF(DAY(NovSun1)=1,IF(AND(YEAR(NovSun1+28)=CalendarYear,MONTH(NovSun1+28)=11),NovSun1+28,""),IF(AND(YEAR(NovSun1+35)=CalendarYear,MONTH(NovSun1+35)=11),NovSun1+35,""))</f>
        <v/>
      </c>
      <c r="AT24" s="20"/>
      <c r="AU24" s="30">
        <f>IF(DAY(DecSun1)=1,IF(AND(YEAR(DecSun1+22)=CalendarYear,MONTH(DecSun1+22)=12),DecSun1+22,""),IF(AND(YEAR(DecSun1+29)=CalendarYear,MONTH(DecSun1+29)=12),DecSun1+29,""))</f>
        <v>44920</v>
      </c>
      <c r="AV24" s="30">
        <f>IF(DAY(DecSun1)=1,IF(AND(YEAR(DecSun1+23)=CalendarYear,MONTH(DecSun1+23)=12),DecSun1+23,""),IF(AND(YEAR(DecSun1+30)=CalendarYear,MONTH(DecSun1+30)=12),DecSun1+30,""))</f>
        <v>44921</v>
      </c>
      <c r="AW24" s="30">
        <f>IF(DAY(DecSun1)=1,IF(AND(YEAR(DecSun1+24)=CalendarYear,MONTH(DecSun1+24)=12),DecSun1+24,""),IF(AND(YEAR(DecSun1+31)=CalendarYear,MONTH(DecSun1+31)=12),DecSun1+31,""))</f>
        <v>44922</v>
      </c>
      <c r="AX24" s="30">
        <f>IF(DAY(DecSun1)=1,IF(AND(YEAR(DecSun1+25)=CalendarYear,MONTH(DecSun1+25)=12),DecSun1+25,""),IF(AND(YEAR(DecSun1+32)=CalendarYear,MONTH(DecSun1+32)=12),DecSun1+32,""))</f>
        <v>44923</v>
      </c>
      <c r="AY24" s="30">
        <f>IF(DAY(DecSun1)=1,IF(AND(YEAR(DecSun1+26)=CalendarYear,MONTH(DecSun1+26)=12),DecSun1+26,""),IF(AND(YEAR(DecSun1+33)=CalendarYear,MONTH(DecSun1+33)=12),DecSun1+33,""))</f>
        <v>44924</v>
      </c>
      <c r="AZ24" s="30">
        <f>IF(DAY(DecSun1)=1,IF(AND(YEAR(DecSun1+27)=CalendarYear,MONTH(DecSun1+27)=12),DecSun1+27,""),IF(AND(YEAR(DecSun1+34)=CalendarYear,MONTH(DecSun1+34)=12),DecSun1+34,""))</f>
        <v>44925</v>
      </c>
      <c r="BA24" s="34">
        <f>IF(DAY(DecSun1)=1,IF(AND(YEAR(DecSun1+28)=CalendarYear,MONTH(DecSun1+28)=12),DecSun1+28,""),IF(AND(YEAR(DecSun1+35)=CalendarYear,MONTH(DecSun1+35)=12),DecSun1+35,""))</f>
        <v>44926</v>
      </c>
    </row>
    <row r="25" spans="2:53" x14ac:dyDescent="0.25">
      <c r="B25" s="18" t="s">
        <v>11</v>
      </c>
      <c r="C25" s="44">
        <f>C24+1</f>
        <v>45125</v>
      </c>
      <c r="D25" s="16"/>
      <c r="G25" s="31">
        <f>IF(DAY(JulSun1)=1,IF(AND(YEAR(JulSun1+29)=CalendarYear,MONTH(JulSun1+29)=7),JulSun1+29,""),IF(AND(YEAR(JulSun1+36)=CalendarYear,MONTH(JulSun1+36)=7),JulSun1+36,""))</f>
        <v>44773</v>
      </c>
      <c r="H25" s="30" t="str">
        <f>IF(DAY(JulSun1)=1,IF(AND(YEAR(JulSun1+30)=CalendarYear,MONTH(JulSun1+30)=7),JulSun1+30,""),IF(AND(YEAR(JulSun1+37)=CalendarYear,MONTH(JulSun1+37)=7),JulSun1+37,""))</f>
        <v/>
      </c>
      <c r="I25" s="30" t="str">
        <f>IF(DAY(JulSun1)=1,IF(AND(YEAR(JulSun1+31)=CalendarYear,MONTH(JulSun1+31)=7),JulSun1+31,""),IF(AND(YEAR(JulSun1+38)=CalendarYear,MONTH(JulSun1+38)=7),JulSun1+38,""))</f>
        <v/>
      </c>
      <c r="J25" s="30" t="str">
        <f>IF(DAY(JulSun1)=1,IF(AND(YEAR(JulSun1+32)=CalendarYear,MONTH(JulSun1+32)=7),JulSun1+32,""),IF(AND(YEAR(JulSun1+39)=CalendarYear,MONTH(JulSun1+39)=7),JulSun1+39,""))</f>
        <v/>
      </c>
      <c r="K25" s="30" t="str">
        <f>IF(DAY(JulSun1)=1,IF(AND(YEAR(JulSun1+33)=CalendarYear,MONTH(JulSun1+33)=7),JulSun1+33,""),IF(AND(YEAR(JulSun1+40)=CalendarYear,MONTH(JulSun1+40)=7),JulSun1+40,""))</f>
        <v/>
      </c>
      <c r="L25" s="30" t="str">
        <f>IF(DAY(JulSun1)=1,IF(AND(YEAR(JulSun1+34)=CalendarYear,MONTH(JulSun1+34)=7),JulSun1+34,""),IF(AND(YEAR(JulSun1+41)=CalendarYear,MONTH(JulSun1+41)=7),JulSun1+41,""))</f>
        <v/>
      </c>
      <c r="M25" s="30" t="str">
        <f>IF(DAY(JulSun1)=1,IF(AND(YEAR(JulSun1+35)=CalendarYear,MONTH(JulSun1+35)=7),JulSun1+35,""),IF(AND(YEAR(JulSun1+42)=CalendarYear,MONTH(JulSun1+42)=7),JulSun1+42,""))</f>
        <v/>
      </c>
      <c r="N25" s="8"/>
      <c r="O25" s="30" t="str">
        <f>IF(DAY(AugSun1)=1,IF(AND(YEAR(AugSun1+29)=CalendarYear,MONTH(AugSun1+29)=8),AugSun1+29,""),IF(AND(YEAR(AugSun1+36)=CalendarYear,MONTH(AugSun1+36)=8),AugSun1+36,""))</f>
        <v/>
      </c>
      <c r="P25" s="30" t="str">
        <f>IF(DAY(AugSun1)=1,IF(AND(YEAR(AugSun1+30)=CalendarYear,MONTH(AugSun1+30)=8),AugSun1+30,""),IF(AND(YEAR(AugSun1+37)=CalendarYear,MONTH(AugSun1+37)=8),AugSun1+37,""))</f>
        <v/>
      </c>
      <c r="Q25" s="30" t="str">
        <f>IF(DAY(AugSun1)=1,IF(AND(YEAR(AugSun1+31)=CalendarYear,MONTH(AugSun1+31)=8),AugSun1+31,""),IF(AND(YEAR(AugSun1+38)=CalendarYear,MONTH(AugSun1+38)=8),AugSun1+38,""))</f>
        <v/>
      </c>
      <c r="R25" s="30" t="str">
        <f>IF(DAY(AugSun1)=1,IF(AND(YEAR(AugSun1+32)=CalendarYear,MONTH(AugSun1+32)=8),AugSun1+32,""),IF(AND(YEAR(AugSun1+39)=CalendarYear,MONTH(AugSun1+39)=8),AugSun1+39,""))</f>
        <v/>
      </c>
      <c r="S25" s="30" t="str">
        <f>IF(DAY(AugSun1)=1,IF(AND(YEAR(AugSun1+33)=CalendarYear,MONTH(AugSun1+33)=8),AugSun1+33,""),IF(AND(YEAR(AugSun1+40)=CalendarYear,MONTH(AugSun1+40)=8),AugSun1+40,""))</f>
        <v/>
      </c>
      <c r="T25" s="30" t="str">
        <f>IF(DAY(AugSun1)=1,IF(AND(YEAR(AugSun1+34)=CalendarYear,MONTH(AugSun1+34)=8),AugSun1+34,""),IF(AND(YEAR(AugSun1+41)=CalendarYear,MONTH(AugSun1+41)=8),AugSun1+41,""))</f>
        <v/>
      </c>
      <c r="U25" s="30" t="str">
        <f>IF(DAY(AugSun1)=1,IF(AND(YEAR(AugSun1+35)=CalendarYear,MONTH(AugSun1+35)=8),AugSun1+35,""),IF(AND(YEAR(AugSun1+42)=CalendarYear,MONTH(AugSun1+42)=8),AugSun1+42,""))</f>
        <v/>
      </c>
      <c r="V25" s="4"/>
      <c r="W25" s="30"/>
      <c r="X25" s="30"/>
      <c r="Y25" s="30"/>
      <c r="Z25" s="30"/>
      <c r="AA25" s="30"/>
      <c r="AB25" s="30"/>
      <c r="AC25" s="30"/>
      <c r="AD25" s="4"/>
      <c r="AE25" s="30"/>
      <c r="AF25" s="30"/>
      <c r="AG25" s="30"/>
      <c r="AH25" s="30"/>
      <c r="AI25" s="30"/>
      <c r="AJ25" s="30"/>
      <c r="AK25" s="30"/>
      <c r="AL25" s="4"/>
      <c r="AM25" s="30"/>
      <c r="AN25" s="30"/>
      <c r="AO25" s="30"/>
      <c r="AP25" s="30"/>
      <c r="AQ25" s="30"/>
      <c r="AR25" s="30"/>
      <c r="AS25" s="30"/>
      <c r="AT25" s="20"/>
      <c r="AU25" s="30"/>
      <c r="AV25" s="30"/>
      <c r="AW25" s="30"/>
      <c r="AX25" s="30"/>
      <c r="AY25" s="30"/>
      <c r="AZ25" s="30"/>
      <c r="BA25" s="34"/>
    </row>
    <row r="26" spans="2:53" ht="15.75" thickBot="1" x14ac:dyDescent="0.3">
      <c r="B26" s="18" t="s">
        <v>39</v>
      </c>
      <c r="C26" s="44">
        <f>WORKDAY(C25,Variables!$B12,'Holidays Dont Touch'!$B$3:$L$35)</f>
        <v>45128</v>
      </c>
      <c r="D26" s="17"/>
      <c r="G26" s="21"/>
      <c r="H26" s="8"/>
      <c r="I26" s="8"/>
      <c r="J26" s="8"/>
      <c r="K26" s="8"/>
      <c r="L26" s="8"/>
      <c r="M26" s="8"/>
      <c r="N26" s="8"/>
      <c r="O26" s="8"/>
      <c r="P26" s="8"/>
      <c r="Q26" s="8"/>
      <c r="R26" s="8"/>
      <c r="S26" s="8"/>
      <c r="T26" s="8"/>
      <c r="U26" s="8"/>
      <c r="V26" s="4"/>
      <c r="W26" s="8"/>
      <c r="X26" s="8"/>
      <c r="Y26" s="8"/>
      <c r="Z26" s="8"/>
      <c r="AA26" s="8"/>
      <c r="AB26" s="8"/>
      <c r="AC26" s="8"/>
      <c r="AD26" s="8"/>
      <c r="AE26" s="8"/>
      <c r="AF26" s="8"/>
      <c r="AG26" s="8"/>
      <c r="AH26" s="8"/>
      <c r="AI26" s="8"/>
      <c r="AJ26" s="8"/>
      <c r="AK26" s="8"/>
      <c r="AL26" s="4"/>
      <c r="AM26" s="8"/>
      <c r="AN26" s="8"/>
      <c r="AO26" s="8"/>
      <c r="AP26" s="8"/>
      <c r="AQ26" s="8"/>
      <c r="AR26" s="8"/>
      <c r="AS26" s="8"/>
      <c r="AT26" s="20"/>
      <c r="AU26" s="8"/>
      <c r="AV26" s="8"/>
      <c r="AW26" s="8"/>
      <c r="AX26" s="8"/>
      <c r="AY26" s="8"/>
      <c r="AZ26" s="8"/>
      <c r="BA26" s="22"/>
    </row>
    <row r="27" spans="2:53" ht="19.5" thickBot="1" x14ac:dyDescent="0.35">
      <c r="B27" s="18" t="s">
        <v>13</v>
      </c>
      <c r="C27" s="44">
        <f>WORKDAY(C26,Variables!$B13,'Holidays Dont Touch'!$B$3:$L$35)</f>
        <v>45133</v>
      </c>
      <c r="D27" s="14"/>
      <c r="G27" s="103" t="str">
        <f>CalendarYear+1&amp;" Timeline "</f>
        <v xml:space="preserve">2023 Timeline </v>
      </c>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5"/>
    </row>
    <row r="28" spans="2:53" ht="15.75" thickBot="1" x14ac:dyDescent="0.3">
      <c r="B28" s="18" t="s">
        <v>23</v>
      </c>
      <c r="C28" s="44">
        <f>WORKDAY(C27,Variables!$B14,'Holidays Dont Touch'!$B$3:$L$35)</f>
        <v>45140</v>
      </c>
      <c r="D28" s="15"/>
      <c r="G28" s="102">
        <f>DATE(CalendarYear,1,1)</f>
        <v>44562</v>
      </c>
      <c r="H28" s="97"/>
      <c r="I28" s="97"/>
      <c r="J28" s="97"/>
      <c r="K28" s="97"/>
      <c r="L28" s="97"/>
      <c r="M28" s="97"/>
      <c r="N28" s="36"/>
      <c r="O28" s="97">
        <f>DATE(CalendarYear,2,1)</f>
        <v>44593</v>
      </c>
      <c r="P28" s="97"/>
      <c r="Q28" s="97"/>
      <c r="R28" s="97"/>
      <c r="S28" s="97"/>
      <c r="T28" s="97"/>
      <c r="U28" s="97"/>
      <c r="V28" s="36"/>
      <c r="W28" s="97">
        <f>DATE(CalendarYear,3,1)</f>
        <v>44621</v>
      </c>
      <c r="X28" s="97"/>
      <c r="Y28" s="97"/>
      <c r="Z28" s="97"/>
      <c r="AA28" s="97"/>
      <c r="AB28" s="97"/>
      <c r="AC28" s="97"/>
      <c r="AD28" s="38"/>
      <c r="AE28" s="97">
        <f>DATE(CalendarYear,4,1)</f>
        <v>44652</v>
      </c>
      <c r="AF28" s="97"/>
      <c r="AG28" s="97"/>
      <c r="AH28" s="97"/>
      <c r="AI28" s="97"/>
      <c r="AJ28" s="97"/>
      <c r="AK28" s="97"/>
      <c r="AL28" s="36"/>
      <c r="AM28" s="97">
        <f>DATE(CalendarYear,5,1)</f>
        <v>44682</v>
      </c>
      <c r="AN28" s="97"/>
      <c r="AO28" s="97"/>
      <c r="AP28" s="97"/>
      <c r="AQ28" s="97"/>
      <c r="AR28" s="97"/>
      <c r="AS28" s="97"/>
      <c r="AT28" s="37"/>
      <c r="AU28" s="97">
        <f>DATE(CalendarYear,6,1)</f>
        <v>44713</v>
      </c>
      <c r="AV28" s="97"/>
      <c r="AW28" s="97"/>
      <c r="AX28" s="97"/>
      <c r="AY28" s="97"/>
      <c r="AZ28" s="97"/>
      <c r="BA28" s="98"/>
    </row>
    <row r="29" spans="2:53" ht="15.75" thickTop="1" x14ac:dyDescent="0.25">
      <c r="B29" s="18" t="s">
        <v>24</v>
      </c>
      <c r="C29" s="44">
        <f>WORKDAY(C28,Variables!$B15,'Holidays Dont Touch'!$B$3:$L$35)</f>
        <v>45154</v>
      </c>
      <c r="D29" s="16"/>
      <c r="G29" s="32" t="s">
        <v>43</v>
      </c>
      <c r="H29" s="33" t="s">
        <v>44</v>
      </c>
      <c r="I29" s="33" t="s">
        <v>45</v>
      </c>
      <c r="J29" s="33" t="s">
        <v>46</v>
      </c>
      <c r="K29" s="33" t="s">
        <v>45</v>
      </c>
      <c r="L29" s="33" t="s">
        <v>47</v>
      </c>
      <c r="M29" s="33" t="s">
        <v>43</v>
      </c>
      <c r="N29" s="4"/>
      <c r="O29" s="33" t="s">
        <v>43</v>
      </c>
      <c r="P29" s="33" t="s">
        <v>44</v>
      </c>
      <c r="Q29" s="33" t="s">
        <v>45</v>
      </c>
      <c r="R29" s="33" t="s">
        <v>46</v>
      </c>
      <c r="S29" s="33" t="s">
        <v>45</v>
      </c>
      <c r="T29" s="33" t="s">
        <v>47</v>
      </c>
      <c r="U29" s="33" t="s">
        <v>43</v>
      </c>
      <c r="V29" s="4"/>
      <c r="W29" s="33" t="s">
        <v>43</v>
      </c>
      <c r="X29" s="33" t="s">
        <v>44</v>
      </c>
      <c r="Y29" s="33" t="s">
        <v>45</v>
      </c>
      <c r="Z29" s="33" t="s">
        <v>46</v>
      </c>
      <c r="AA29" s="33" t="s">
        <v>45</v>
      </c>
      <c r="AB29" s="33" t="s">
        <v>47</v>
      </c>
      <c r="AC29" s="33" t="s">
        <v>43</v>
      </c>
      <c r="AD29" s="4"/>
      <c r="AE29" s="33" t="s">
        <v>43</v>
      </c>
      <c r="AF29" s="33" t="s">
        <v>44</v>
      </c>
      <c r="AG29" s="33" t="s">
        <v>45</v>
      </c>
      <c r="AH29" s="33" t="s">
        <v>46</v>
      </c>
      <c r="AI29" s="33" t="s">
        <v>45</v>
      </c>
      <c r="AJ29" s="33" t="s">
        <v>47</v>
      </c>
      <c r="AK29" s="33" t="s">
        <v>43</v>
      </c>
      <c r="AL29" s="4"/>
      <c r="AM29" s="33" t="s">
        <v>43</v>
      </c>
      <c r="AN29" s="33" t="s">
        <v>44</v>
      </c>
      <c r="AO29" s="33" t="s">
        <v>45</v>
      </c>
      <c r="AP29" s="33" t="s">
        <v>46</v>
      </c>
      <c r="AQ29" s="33" t="s">
        <v>45</v>
      </c>
      <c r="AR29" s="33" t="s">
        <v>47</v>
      </c>
      <c r="AS29" s="33" t="s">
        <v>43</v>
      </c>
      <c r="AT29" s="20"/>
      <c r="AU29" s="33" t="s">
        <v>43</v>
      </c>
      <c r="AV29" s="33" t="s">
        <v>44</v>
      </c>
      <c r="AW29" s="33" t="s">
        <v>45</v>
      </c>
      <c r="AX29" s="33" t="s">
        <v>46</v>
      </c>
      <c r="AY29" s="33" t="s">
        <v>45</v>
      </c>
      <c r="AZ29" s="33" t="s">
        <v>47</v>
      </c>
      <c r="BA29" s="35" t="s">
        <v>43</v>
      </c>
    </row>
    <row r="30" spans="2:53" x14ac:dyDescent="0.25">
      <c r="B30" s="18" t="s">
        <v>25</v>
      </c>
      <c r="C30" s="44">
        <f>C29+1</f>
        <v>45155</v>
      </c>
      <c r="D30" s="17"/>
      <c r="G30" s="31">
        <f>IF(DAY(JanSunYear2)=1,"",IF(AND(YEAR(JanSunYear2+1)=CalendarYear+1,MONTH(JanSunYear2+1)=1),JanSunYear2+1,""))</f>
        <v>44927</v>
      </c>
      <c r="H30" s="30">
        <f>IF(DAY(JanSunYear2)=1,"",IF(AND(YEAR(JanSunYear2+2)=CalendarYear+1,MONTH(JanSunYear2+2)=1),JanSunYear2+2,""))</f>
        <v>44928</v>
      </c>
      <c r="I30" s="30">
        <f>IF(DAY(JanSunYear2)=1,"",IF(AND(YEAR(JanSunYear2+3)=CalendarYear+1,MONTH(JanSunYear2+3)=1),JanSunYear2+3,""))</f>
        <v>44929</v>
      </c>
      <c r="J30" s="30">
        <f>IF(DAY(JanSunYear2)=1,"",IF(AND(YEAR(JanSunYear2+4)=CalendarYear+1,MONTH(JanSunYear2+4)=1),JanSunYear2+4,""))</f>
        <v>44930</v>
      </c>
      <c r="K30" s="30">
        <f>IF(DAY(JanSunYear2)=1,"",IF(AND(YEAR(JanSunYear2+5)=CalendarYear+1,MONTH(JanSunYear2+5)=1),JanSunYear2+5,""))</f>
        <v>44931</v>
      </c>
      <c r="L30" s="30">
        <f>IF(DAY(JanSunYear2)=1,"",IF(AND(YEAR(JanSunYear2+6)=CalendarYear+1,MONTH(JanSunYear2+6)=1),JanSunYear2+6,""))</f>
        <v>44932</v>
      </c>
      <c r="M30" s="30">
        <f>IF(DAY(JanSunYear2)=1,IF(AND(YEAR(JanSunYear2)=CalendarYear+1,MONTH(JanSunYear2)=1),JanSunYear2,""),IF(AND(YEAR(JanSunYear2+7)=CalendarYear+1,MONTH(JanSunYear2+7)=1),JanSunYear2+7,""))</f>
        <v>44933</v>
      </c>
      <c r="N30" s="4"/>
      <c r="O30" s="30" t="str">
        <f>IF(DAY(FebSunYear2)=1,"",IF(AND(YEAR(FebSunYear2+1)=CalendarYear+1,MONTH(FebSunYear2+1)=2),FebSunYear2+1,""))</f>
        <v/>
      </c>
      <c r="P30" s="30" t="str">
        <f>IF(DAY(FebSunYear2)=1,"",IF(AND(YEAR(FebSunYear2+2)=CalendarYear+1,MONTH(FebSunYear2+2)=2),FebSunYear2+2,""))</f>
        <v/>
      </c>
      <c r="Q30" s="30" t="str">
        <f>IF(DAY(FebSunYear2)=1,"",IF(AND(YEAR(FebSunYear2+3)=CalendarYear+1,MONTH(FebSunYear2+3)=2),FebSunYear2+3,""))</f>
        <v/>
      </c>
      <c r="R30" s="30">
        <f>IF(DAY(FebSunYear2)=1,"",IF(AND(YEAR(FebSunYear2+4)=CalendarYear+1,MONTH(FebSunYear2+4)=2),FebSunYear2+4,""))</f>
        <v>44958</v>
      </c>
      <c r="S30" s="30">
        <f>IF(DAY(FebSunYear2)=1,"",IF(AND(YEAR(FebSunYear2+5)=CalendarYear+1,MONTH(FebSunYear2+5)=2),FebSunYear2+5,""))</f>
        <v>44959</v>
      </c>
      <c r="T30" s="30">
        <f>IF(DAY(FebSunYear2)=1,"",IF(AND(YEAR(FebSunYear2+6)=CalendarYear+1,MONTH(FebSunYear2+6)=2),FebSunYear2+6,""))</f>
        <v>44960</v>
      </c>
      <c r="U30" s="30">
        <f>IF(DAY(FebSunYear2)=1,IF(AND(YEAR(FebSunYear2)=CalendarYear+1,MONTH(FebSunYear2)=2),FebSunYear2,""),IF(AND(YEAR(FebSunYear2+7)=CalendarYear+1,MONTH(FebSunYear2+7)=2),FebSunYear2+7,""))</f>
        <v>44961</v>
      </c>
      <c r="V30" s="4"/>
      <c r="W30" s="30" t="str">
        <f>IF(DAY(MarSunYear2)=1,"",IF(AND(YEAR(MarSunYear2+1)=CalendarYear+1,MONTH(MarSunYear2+1)=3),MarSunYear2+1,""))</f>
        <v/>
      </c>
      <c r="X30" s="30" t="str">
        <f>IF(DAY(MarSunYear2)=1,"",IF(AND(YEAR(MarSunYear2+2)=CalendarYear+1,MONTH(MarSunYear2+2)=3),MarSunYear2+2,""))</f>
        <v/>
      </c>
      <c r="Y30" s="30" t="str">
        <f>IF(DAY(MarSunYear2)=1,"",IF(AND(YEAR(MarSunYear2+3)=CalendarYear+1,MONTH(MarSunYear2+3)=3),MarSunYear2+3,""))</f>
        <v/>
      </c>
      <c r="Z30" s="30">
        <f>IF(DAY(MarSunYear2)=1,"",IF(AND(YEAR(MarSunYear2+4)=CalendarYear+1,MONTH(MarSunYear2+4)=3),MarSunYear2+4,""))</f>
        <v>44986</v>
      </c>
      <c r="AA30" s="30">
        <f>IF(DAY(MarSunYear2)=1,"",IF(AND(YEAR(MarSunYear2+5)=CalendarYear+1,MONTH(MarSunYear2+5)=3),MarSunYear2+5,""))</f>
        <v>44987</v>
      </c>
      <c r="AB30" s="30">
        <f>IF(DAY(MarSunYear2)=1,"",IF(AND(YEAR(MarSunYear2+6)=CalendarYear+1,MONTH(MarSunYear2+6)=3),MarSunYear2+6,""))</f>
        <v>44988</v>
      </c>
      <c r="AC30" s="30">
        <f>IF(DAY(MarSunYear2)=1,IF(AND(YEAR(MarSunYear2)=CalendarYear+1,MONTH(MarSunYear2)=3),MarSunYear2,""),IF(AND(YEAR(MarSunYear2+7)=CalendarYear+1,MONTH(MarSunYear2+7)=3),MarSunYear2+7,""))</f>
        <v>44989</v>
      </c>
      <c r="AD30" s="4"/>
      <c r="AE30" s="30" t="str">
        <f>IF(DAY(AprSunYear2)=1,"",IF(AND(YEAR(AprSunYear2+1)=CalendarYear+1,MONTH(AprSunYear2+1)=4),AprSunYear2+1,""))</f>
        <v/>
      </c>
      <c r="AF30" s="30" t="str">
        <f>IF(DAY(AprSunYear2)=1,"",IF(AND(YEAR(AprSunYear2+2)=CalendarYear+1,MONTH(AprSunYear2+2)=4),AprSunYear2+2,""))</f>
        <v/>
      </c>
      <c r="AG30" s="30" t="str">
        <f>IF(DAY(AprSunYear2)=1,"",IF(AND(YEAR(AprSunYear2+3)=CalendarYear+1,MONTH(AprSunYear2+3)=4),AprSunYear2+3,""))</f>
        <v/>
      </c>
      <c r="AH30" s="30" t="str">
        <f>IF(DAY(AprSunYear2)=1,"",IF(AND(YEAR(AprSunYear2+4)=CalendarYear+1,MONTH(AprSunYear2+4)=4),AprSunYear2+4,""))</f>
        <v/>
      </c>
      <c r="AI30" s="30" t="str">
        <f>IF(DAY(AprSunYear2)=1,"",IF(AND(YEAR(AprSunYear2+5)=CalendarYear+1,MONTH(AprSunYear2+5)=4),AprSunYear2+5,""))</f>
        <v/>
      </c>
      <c r="AJ30" s="30" t="str">
        <f>IF(DAY(AprSunYear2)=1,"",IF(AND(YEAR(AprSunYear2+6)=CalendarYear+1,MONTH(AprSunYear2+6)=4),AprSunYear2+6,""))</f>
        <v/>
      </c>
      <c r="AK30" s="30">
        <f>IF(DAY(AprSunYear2)=1,IF(AND(YEAR(AprSunYear2)=CalendarYear+1,MONTH(AprSunYear2)=4),AprSunYear2,""),IF(AND(YEAR(AprSunYear2+7)=CalendarYear+1,MONTH(AprSunYear2+7)=4),AprSunYear2+7,""))</f>
        <v>45017</v>
      </c>
      <c r="AL30" s="4"/>
      <c r="AM30" s="30" t="str">
        <f>IF(DAY(MaySunYear2)=1,"",IF(AND(YEAR(MaySunYear2+1)=CalendarYear+1,MONTH(MaySunYear2+1)=5),MaySunYear2+1,""))</f>
        <v/>
      </c>
      <c r="AN30" s="30">
        <f>IF(DAY(MaySunYear2)=2,"",IF(AND(YEAR(MaySunYear2+2)=CalendarYear+1,MONTH(MaySunYear2+2)=5),MaySunYear2+2,""))</f>
        <v>45047</v>
      </c>
      <c r="AO30" s="30">
        <f>IF(DAY(MaySunYear2)=3,"",IF(AND(YEAR(MaySunYear2+3)=CalendarYear+1,MONTH(MaySunYear2+3)=5),MaySunYear2+3,""))</f>
        <v>45048</v>
      </c>
      <c r="AP30" s="30">
        <f>IF(DAY(MaySunYear2)=1,"",IF(AND(YEAR(MaySunYear2+4)=CalendarYear+1,MONTH(MaySunYear2+4)=5),MaySunYear2+4,""))</f>
        <v>45049</v>
      </c>
      <c r="AQ30" s="30">
        <f>IF(DAY(MaySunYear2)=1,"",IF(AND(YEAR(MaySunYear2+5)=CalendarYear+1,MONTH(MaySunYear2+5)=5),MaySunYear2+5,""))</f>
        <v>45050</v>
      </c>
      <c r="AR30" s="30">
        <f>IF(DAY(MaySunYear2)=1,IF(AND(YEAR(MaySunYear2)=CalendarYear+1,MONTH(MaySunYear2)=5),MaySunYear2,""),IF(AND(YEAR(MaySunYear2+6)=CalendarYear+1,MONTH(MaySunYear2+6)=5),MaySunYear2+6,""))</f>
        <v>45051</v>
      </c>
      <c r="AS30" s="30">
        <f>IF(DAY(MaySunYear2)=1,IF(AND(YEAR(MaySunYear2)=CalendarYear+1,MONTH(MaySunYear2)=5),MaySunYear2,""),IF(AND(YEAR(MaySunYear2+7)=CalendarYear+1,MONTH(MaySunYear2+7)=5),MaySunYear2+7,""))</f>
        <v>45052</v>
      </c>
      <c r="AT30" s="20"/>
      <c r="AU30" s="30" t="str">
        <f>IF(DAY(JunSunYear2)=1,"",IF(AND(YEAR(JunSunYear2+1)=CalendarYear+1,MONTH(JunSunYear2+1)=6),JunSunYear2+1,""))</f>
        <v/>
      </c>
      <c r="AV30" s="30" t="str">
        <f>IF(DAY(JunSunYear2)=1,"",IF(AND(YEAR(JunSunYear2+2)=CalendarYear+1,MONTH(JunSunYear2+2)=6),JunSunYear2+2,""))</f>
        <v/>
      </c>
      <c r="AW30" s="30" t="str">
        <f>IF(DAY(JunSunYear2)=1,"",IF(AND(YEAR(JunSunYear2+3)=CalendarYear+1,MONTH(JunSunYear2+3)=6),JunSunYear2+3,""))</f>
        <v/>
      </c>
      <c r="AX30" s="30" t="str">
        <f>IF(DAY(JunSunYear2)=1,"",IF(AND(YEAR(JunSunYear2+4)=CalendarYear+1,MONTH(JunSunYear2+4)=6),JunSunYear2+4,""))</f>
        <v/>
      </c>
      <c r="AY30" s="30">
        <f>IF(DAY(JunSunYear2)=1,"",IF(AND(YEAR(JunSunYear2+5)=CalendarYear+1,MONTH(JunSunYear2+5)=6),JunSunYear2+5,""))</f>
        <v>45078</v>
      </c>
      <c r="AZ30" s="30">
        <f>IF(DAY(JunSunYear2)=1,"",IF(AND(YEAR(JunSunYear2+6)=CalendarYear+1,MONTH(JunSunYear2+6)=6),JunSunYear2+6,""))</f>
        <v>45079</v>
      </c>
      <c r="BA30" s="34">
        <f>IF(DAY(JunSunYear2)=1,IF(AND(YEAR(JunSunYear2)=CalendarYear+1,MONTH(JunSunYear2)=6),JunSunYear2,""),IF(AND(YEAR(JunSunYear2+7)=CalendarYear+1,MONTH(JunSunYear2+7)=6),JunSunYear2+7,""))</f>
        <v>45080</v>
      </c>
    </row>
    <row r="31" spans="2:53" x14ac:dyDescent="0.25">
      <c r="B31" s="18" t="s">
        <v>26</v>
      </c>
      <c r="C31" s="44">
        <f>IF(WORKDAY(C29,Variables!$B16,'Holidays Dont Touch'!$B$3:$L$35)&gt;$C$9,$C$9,(WORKDAY(C29,Variables!$B16,'Holidays Dont Touch'!$B$3:$L$35)))</f>
        <v>45190</v>
      </c>
      <c r="D31" s="19"/>
      <c r="G31" s="31">
        <f>IF(DAY(JanSunYear2)=1,IF(AND(YEAR(JanSunYear2+1)=CalendarYear+1,MONTH(JanSunYear2+1)=1),JanSunYear2+1,""),IF(AND(YEAR(JanSunYear2+8)=CalendarYear+1,MONTH(JanSunYear2+8)=1),JanSunYear2+8,""))</f>
        <v>44934</v>
      </c>
      <c r="H31" s="30">
        <f>IF(DAY(JanSunYear2)=1,IF(AND(YEAR(JanSunYear2+2)=CalendarYear+1,MONTH(JanSunYear2+2)=1),JanSunYear2+2,""),IF(AND(YEAR(JanSunYear2+9)=CalendarYear+1,MONTH(JanSunYear2+9)=1),JanSunYear2+9,""))</f>
        <v>44935</v>
      </c>
      <c r="I31" s="30">
        <f>IF(DAY(JanSunYear2)=1,IF(AND(YEAR(JanSunYear2+3)=CalendarYear+1,MONTH(JanSunYear2+3)=1),JanSunYear2+3,""),IF(AND(YEAR(JanSunYear2+10)=CalendarYear+1,MONTH(JanSunYear2+10)=1),JanSunYear2+10,""))</f>
        <v>44936</v>
      </c>
      <c r="J31" s="30">
        <f>IF(DAY(JanSunYear2)=1,IF(AND(YEAR(JanSunYear2+4)=CalendarYear+1,MONTH(JanSunYear2+4)=1),JanSunYear2+4,""),IF(AND(YEAR(JanSunYear2+11)=CalendarYear+1,MONTH(JanSunYear2+11)=1),JanSunYear2+11,""))</f>
        <v>44937</v>
      </c>
      <c r="K31" s="30">
        <f>IF(DAY(JanSunYear2)=1,IF(AND(YEAR(JanSunYear2+5)=CalendarYear+1,MONTH(JanSunYear2+5)=1),JanSunYear2+5,""),IF(AND(YEAR(JanSunYear2+12)=CalendarYear+1,MONTH(JanSunYear2+12)=1),JanSunYear2+12,""))</f>
        <v>44938</v>
      </c>
      <c r="L31" s="30">
        <f>IF(DAY(JanSunYear2)=1,IF(AND(YEAR(JanSunYear2+6)=CalendarYear+1,MONTH(JanSunYear2+6)=1),JanSunYear2+6,""),IF(AND(YEAR(JanSunYear2+13)=CalendarYear+1,MONTH(JanSunYear2+13)=1),JanSunYear2+13,""))</f>
        <v>44939</v>
      </c>
      <c r="M31" s="30">
        <f>IF(DAY(JanSunYear2)=1,IF(AND(YEAR(JanSunYear2+7)=CalendarYear+1,MONTH(JanSunYear2+7)=1),JanSunYear2+7,""),IF(AND(YEAR(JanSunYear2+14)=CalendarYear+1,MONTH(JanSunYear2+14)=1),JanSunYear2+14,""))</f>
        <v>44940</v>
      </c>
      <c r="N31" s="4"/>
      <c r="O31" s="30">
        <f>IF(DAY(FebSunYear2)=1,IF(AND(YEAR(FebSunYear2+1)=CalendarYear+1,MONTH(FebSunYear2+1)=2),FebSunYear2+1,""),IF(AND(YEAR(FebSunYear2+8)=CalendarYear+1,MONTH(FebSunYear2+8)=2),FebSunYear2+8,""))</f>
        <v>44962</v>
      </c>
      <c r="P31" s="30">
        <f>IF(DAY(FebSunYear2)=1,IF(AND(YEAR(FebSunYear2+2)=CalendarYear+1,MONTH(FebSunYear2+2)=2),FebSunYear2+2,""),IF(AND(YEAR(FebSunYear2+9)=CalendarYear+1,MONTH(FebSunYear2+9)=2),FebSunYear2+9,""))</f>
        <v>44963</v>
      </c>
      <c r="Q31" s="30">
        <f>IF(DAY(FebSunYear2)=1,IF(AND(YEAR(FebSunYear2+3)=CalendarYear+1,MONTH(FebSunYear2+3)=2),FebSunYear2+3,""),IF(AND(YEAR(FebSunYear2+10)=CalendarYear+1,MONTH(FebSunYear2+10)=2),FebSunYear2+10,""))</f>
        <v>44964</v>
      </c>
      <c r="R31" s="30">
        <f>IF(DAY(FebSunYear2)=1,IF(AND(YEAR(FebSunYear2+4)=CalendarYear+1,MONTH(FebSunYear2+4)=2),FebSunYear2+4,""),IF(AND(YEAR(FebSunYear2+11)=CalendarYear+1,MONTH(FebSunYear2+11)=2),FebSunYear2+11,""))</f>
        <v>44965</v>
      </c>
      <c r="S31" s="30">
        <f>IF(DAY(FebSunYear2)=1,IF(AND(YEAR(FebSunYear2+5)=CalendarYear+1,MONTH(FebSunYear2+5)=2),FebSunYear2+5,""),IF(AND(YEAR(FebSunYear2+12)=CalendarYear+1,MONTH(FebSunYear2+12)=2),FebSunYear2+12,""))</f>
        <v>44966</v>
      </c>
      <c r="T31" s="30">
        <f>IF(DAY(FebSunYear2)=1,IF(AND(YEAR(FebSunYear2+6)=CalendarYear+1,MONTH(FebSunYear2+6)=2),FebSunYear2+6,""),IF(AND(YEAR(FebSunYear2+13)=CalendarYear+1,MONTH(FebSunYear2+13)=2),FebSunYear2+13,""))</f>
        <v>44967</v>
      </c>
      <c r="U31" s="30">
        <f>IF(DAY(FebSunYear2)=1,IF(AND(YEAR(FebSunYear2+7)=CalendarYear+1,MONTH(FebSunYear2+7)=2),FebSunYear2+7,""),IF(AND(YEAR(FebSunYear2+14)=CalendarYear+1,MONTH(FebSunYear2+14)=2),FebSunYear2+14,""))</f>
        <v>44968</v>
      </c>
      <c r="V31" s="4"/>
      <c r="W31" s="30">
        <f>IF(DAY(MarSunYear2)=1,IF(AND(YEAR(MarSunYear2+1)=CalendarYear+1,MONTH(MarSunYear2+1)=3),MarSunYear2+1,""),IF(AND(YEAR(MarSunYear2+8)=CalendarYear+1,MONTH(MarSunYear2+8)=3),MarSunYear2+8,""))</f>
        <v>44990</v>
      </c>
      <c r="X31" s="30">
        <f>IF(DAY(MarSunYear2)=1,IF(AND(YEAR(MarSunYear2+2)=CalendarYear+1,MONTH(MarSunYear2+2)=3),MarSunYear2+2,""),IF(AND(YEAR(MarSunYear2+9)=CalendarYear+1,MONTH(MarSunYear2+9)=3),MarSunYear2+9,""))</f>
        <v>44991</v>
      </c>
      <c r="Y31" s="30">
        <f>IF(DAY(MarSunYear2)=1,IF(AND(YEAR(MarSunYear2+3)=CalendarYear+1,MONTH(MarSunYear2+3)=3),MarSunYear2+3,""),IF(AND(YEAR(MarSunYear2+10)=CalendarYear+1,MONTH(MarSunYear2+10)=3),MarSunYear2+10,""))</f>
        <v>44992</v>
      </c>
      <c r="Z31" s="30">
        <f>IF(DAY(MarSunYear2)=1,IF(AND(YEAR(MarSunYear2+4)=CalendarYear+1,MONTH(MarSunYear2+4)=3),MarSunYear2+4,""),IF(AND(YEAR(MarSunYear2+11)=CalendarYear+1,MONTH(MarSunYear2+11)=3),MarSunYear2+11,""))</f>
        <v>44993</v>
      </c>
      <c r="AA31" s="30">
        <f>IF(DAY(MarSunYear2)=1,IF(AND(YEAR(MarSunYear2+5)=CalendarYear+1,MONTH(MarSunYear2+5)=3),MarSunYear2+5,""),IF(AND(YEAR(MarSunYear2+12)=CalendarYear+1,MONTH(MarSunYear2+12)=3),MarSunYear2+12,""))</f>
        <v>44994</v>
      </c>
      <c r="AB31" s="30">
        <f>IF(DAY(MarSunYear2)=1,IF(AND(YEAR(MarSunYear2+6)=CalendarYear+1,MONTH(MarSunYear2+6)=3),MarSunYear2+6,""),IF(AND(YEAR(MarSunYear2+13)=CalendarYear+1,MONTH(MarSunYear2+13)=3),MarSunYear2+13,""))</f>
        <v>44995</v>
      </c>
      <c r="AC31" s="30">
        <f>IF(DAY(MarSunYear2)=1,IF(AND(YEAR(MarSunYear2+7)=CalendarYear+1,MONTH(MarSunYear2+7)=3),MarSunYear2+7,""),IF(AND(YEAR(MarSunYear2+14)=CalendarYear+1,MONTH(MarSunYear2+14)=3),MarSunYear2+14,""))</f>
        <v>44996</v>
      </c>
      <c r="AD31" s="4"/>
      <c r="AE31" s="30">
        <f>IF(DAY(AprSunYear2)=1,IF(AND(YEAR(AprSunYear2+1)=CalendarYear+1,MONTH(AprSunYear2+1)=4),AprSunYear2+1,""),IF(AND(YEAR(AprSunYear2+8)=CalendarYear+1,MONTH(AprSunYear2+8)=4),AprSunYear2+8,""))</f>
        <v>45018</v>
      </c>
      <c r="AF31" s="30">
        <f>IF(DAY(AprSunYear2)=1,IF(AND(YEAR(AprSunYear2+2)=CalendarYear+1,MONTH(AprSunYear2+2)=4),AprSunYear2+2,""),IF(AND(YEAR(AprSunYear2+9)=CalendarYear+1,MONTH(AprSunYear2+9)=4),AprSunYear2+9,""))</f>
        <v>45019</v>
      </c>
      <c r="AG31" s="30">
        <f>IF(DAY(AprSunYear2)=1,IF(AND(YEAR(AprSunYear2+3)=CalendarYear+1,MONTH(AprSunYear2+3)=4),AprSunYear2+3,""),IF(AND(YEAR(AprSunYear2+10)=CalendarYear+1,MONTH(AprSunYear2+10)=4),AprSunYear2+10,""))</f>
        <v>45020</v>
      </c>
      <c r="AH31" s="30">
        <f>IF(DAY(AprSunYear2)=1,IF(AND(YEAR(AprSunYear2+4)=CalendarYear+1,MONTH(AprSunYear2+4)=4),AprSunYear2+4,""),IF(AND(YEAR(AprSunYear2+11)=CalendarYear+1,MONTH(AprSunYear2+11)=4),AprSunYear2+11,""))</f>
        <v>45021</v>
      </c>
      <c r="AI31" s="30">
        <f>IF(DAY(AprSunYear2)=1,IF(AND(YEAR(AprSunYear2+5)=CalendarYear+1,MONTH(AprSunYear2+5)=4),AprSunYear2+5,""),IF(AND(YEAR(AprSunYear2+12)=CalendarYear+1,MONTH(AprSunYear2+12)=4),AprSunYear2+12,""))</f>
        <v>45022</v>
      </c>
      <c r="AJ31" s="30">
        <f>IF(DAY(AprSunYear2)=1,IF(AND(YEAR(AprSunYear2+6)=CalendarYear+1,MONTH(AprSunYear2+6)=4),AprSunYear2+6,""),IF(AND(YEAR(AprSunYear2+13)=CalendarYear+1,MONTH(AprSunYear2+13)=4),AprSunYear2+13,""))</f>
        <v>45023</v>
      </c>
      <c r="AK31" s="30">
        <f>IF(DAY(AprSunYear2)=1,IF(AND(YEAR(AprSunYear2+7)=CalendarYear+1,MONTH(AprSunYear2+7)=4),AprSunYear2+7,""),IF(AND(YEAR(AprSunYear2+14)=CalendarYear+1,MONTH(AprSunYear2+14)=4),AprSunYear2+14,""))</f>
        <v>45024</v>
      </c>
      <c r="AL31" s="4"/>
      <c r="AM31" s="30">
        <f>IF(DAY(MaySunYear2)=1,IF(AND(YEAR(MaySunYear2+1)=CalendarYear+1,MONTH(MaySunYear2+1)=5),MaySunYear2+1,""),IF(AND(YEAR(MaySunYear2+8)=CalendarYear+1,MONTH(MaySunYear2+8)=5),MaySunYear2+8,""))</f>
        <v>45053</v>
      </c>
      <c r="AN31" s="30">
        <f>IF(DAY(MaySunYear2)=1,IF(AND(YEAR(MaySunYear2+2)=CalendarYear+1,MONTH(MaySunYear2+2)=5),MaySunYear2+2,""),IF(AND(YEAR(MaySunYear2+9)=CalendarYear+1,MONTH(MaySunYear2+9)=5),MaySunYear2+9,""))</f>
        <v>45054</v>
      </c>
      <c r="AO31" s="30">
        <f>IF(DAY(MaySunYear2)=1,IF(AND(YEAR(MaySunYear2+3)=CalendarYear+1,MONTH(MaySunYear2+3)=5),MaySunYear2+3,""),IF(AND(YEAR(MaySunYear2+10)=CalendarYear+1,MONTH(MaySunYear2+10)=5),MaySunYear2+10,""))</f>
        <v>45055</v>
      </c>
      <c r="AP31" s="30">
        <f>IF(DAY(MaySunYear2)=1,IF(AND(YEAR(MaySunYear2+4)=CalendarYear+1,MONTH(MaySunYear2+4)=5),MaySunYear2+4,""),IF(AND(YEAR(MaySunYear2+11)=CalendarYear+1,MONTH(MaySunYear2+11)=5),MaySunYear2+11,""))</f>
        <v>45056</v>
      </c>
      <c r="AQ31" s="30">
        <f>IF(DAY(MaySunYear2)=1,IF(AND(YEAR(MaySunYear2+5)=CalendarYear+1,MONTH(MaySunYear2+5)=5),MaySunYear2+5,""),IF(AND(YEAR(MaySunYear2+12)=CalendarYear+1,MONTH(MaySunYear2+12)=5),MaySunYear2+12,""))</f>
        <v>45057</v>
      </c>
      <c r="AR31" s="30">
        <f>IF(DAY(MaySunYear2)=1,IF(AND(YEAR(MaySunYear2+6)=CalendarYear+1,MONTH(MaySunYear2+6)=5),MaySunYear2+6,""),IF(AND(YEAR(MaySunYear2+13)=CalendarYear+1,MONTH(MaySunYear2+13)=5),MaySunYear2+13,""))</f>
        <v>45058</v>
      </c>
      <c r="AS31" s="30">
        <f>IF(DAY(MaySunYear2)=1,IF(AND(YEAR(MaySunYear2+7)=CalendarYear+1,MONTH(MaySunYear2+7)=5),MaySunYear2+7,""),IF(AND(YEAR(MaySunYear2+14)=CalendarYear+1,MONTH(MaySunYear2+14)=5),MaySunYear2+14,""))</f>
        <v>45059</v>
      </c>
      <c r="AT31" s="20"/>
      <c r="AU31" s="30">
        <f>IF(DAY(JunSunYear2)=1,IF(AND(YEAR(JunSunYear2+1)=CalendarYear+1,MONTH(JunSunYear2+1)=6),JunSunYear2+1,""),IF(AND(YEAR(JunSunYear2+8)=CalendarYear+1,MONTH(JunSunYear2+8)=6),JunSunYear2+8,""))</f>
        <v>45081</v>
      </c>
      <c r="AV31" s="30">
        <f>IF(DAY(JunSunYear2)=1,IF(AND(YEAR(JunSunYear2+2)=CalendarYear+1,MONTH(JunSunYear2+2)=6),JunSunYear2+2,""),IF(AND(YEAR(JunSunYear2+9)=CalendarYear+1,MONTH(JunSunYear2+9)=6),JunSunYear2+9,""))</f>
        <v>45082</v>
      </c>
      <c r="AW31" s="30">
        <f>IF(DAY(JunSunYear2)=1,IF(AND(YEAR(JunSunYear2+3)=CalendarYear+1,MONTH(JunSunYear2+3)=6),JunSunYear2+3,""),IF(AND(YEAR(JunSunYear2+10)=CalendarYear+1,MONTH(JunSunYear2+10)=6),JunSunYear2+10,""))</f>
        <v>45083</v>
      </c>
      <c r="AX31" s="30">
        <f>IF(DAY(JunSunYear2)=1,IF(AND(YEAR(JunSunYear2+4)=CalendarYear+1,MONTH(JunSunYear2+4)=6),JunSunYear2+4,""),IF(AND(YEAR(JunSunYear2+11)=CalendarYear+1,MONTH(JunSunYear2+11)=6),JunSunYear2+11,""))</f>
        <v>45084</v>
      </c>
      <c r="AY31" s="30">
        <f>IF(DAY(JunSunYear2)=1,IF(AND(YEAR(JunSunYear2+5)=CalendarYear+1,MONTH(JunSunYear2+5)=6),JunSunYear2+5,""),IF(AND(YEAR(JunSunYear2+12)=CalendarYear+1,MONTH(JunSunYear2+12)=6),JunSunYear2+12,""))</f>
        <v>45085</v>
      </c>
      <c r="AZ31" s="30">
        <f>IF(DAY(JunSunYear2)=1,IF(AND(YEAR(JunSunYear2+6)=CalendarYear+1,MONTH(JunSunYear2+6)=6),JunSunYear2+6,""),IF(AND(YEAR(JunSunYear2+13)=CalendarYear+1,MONTH(JunSunYear2+13)=6),JunSunYear2+13,""))</f>
        <v>45086</v>
      </c>
      <c r="BA31" s="34">
        <f>IF(DAY(JunSunYear2)=1,IF(AND(YEAR(JunSunYear2+7)=CalendarYear+1,MONTH(JunSunYear2+7)=6),JunSunYear2+7,""),IF(AND(YEAR(JunSunYear2+14)=CalendarYear+1,MONTH(JunSunYear2+14)=6),JunSunYear2+14,""))</f>
        <v>45087</v>
      </c>
    </row>
    <row r="32" spans="2:53" x14ac:dyDescent="0.25">
      <c r="G32" s="31">
        <f>IF(DAY(JanSunYear2)=1,IF(AND(YEAR(JanSunYear2+8)=CalendarYear+1,MONTH(JanSunYear2+8)=1),JanSunYear2+8,""),IF(AND(YEAR(JanSunYear2+15)=CalendarYear+1,MONTH(JanSunYear2+15)=1),JanSunYear2+15,""))</f>
        <v>44941</v>
      </c>
      <c r="H32" s="30">
        <f>IF(DAY(JanSunYear2)=1,IF(AND(YEAR(JanSunYear2+9)=CalendarYear+1,MONTH(JanSunYear2+9)=1),JanSunYear2+9,""),IF(AND(YEAR(JanSunYear2+16)=CalendarYear+1,MONTH(JanSunYear2+16)=1),JanSunYear2+16,""))</f>
        <v>44942</v>
      </c>
      <c r="I32" s="30">
        <f>IF(DAY(JanSunYear2)=1,IF(AND(YEAR(JanSunYear2+10)=CalendarYear+1,MONTH(JanSunYear2+10)=1),JanSunYear2+10,""),IF(AND(YEAR(JanSunYear2+17)=CalendarYear+1,MONTH(JanSunYear2+17)=1),JanSunYear2+17,""))</f>
        <v>44943</v>
      </c>
      <c r="J32" s="30">
        <f>IF(DAY(JanSunYear2)=1,IF(AND(YEAR(JanSunYear2+11)=CalendarYear+1,MONTH(JanSunYear2+11)=1),JanSunYear2+11,""),IF(AND(YEAR(JanSunYear2+18)=CalendarYear+1,MONTH(JanSunYear2+18)=1),JanSunYear2+18,""))</f>
        <v>44944</v>
      </c>
      <c r="K32" s="30">
        <f>IF(DAY(JanSunYear2)=1,IF(AND(YEAR(JanSunYear2+12)=CalendarYear+1,MONTH(JanSunYear2+12)=1),JanSunYear2+12,""),IF(AND(YEAR(JanSunYear2+19)=CalendarYear+1,MONTH(JanSunYear2+19)=1),JanSunYear2+19,""))</f>
        <v>44945</v>
      </c>
      <c r="L32" s="30">
        <f>IF(DAY(JanSunYear2)=1,IF(AND(YEAR(JanSunYear2+13)=CalendarYear+1,MONTH(JanSunYear2+13)=1),JanSunYear2+13,""),IF(AND(YEAR(JanSunYear2+20)=CalendarYear+1,MONTH(JanSunYear2+20)=1),JanSunYear2+20,""))</f>
        <v>44946</v>
      </c>
      <c r="M32" s="30">
        <f>IF(DAY(JanSunYear2)=1,IF(AND(YEAR(JanSunYear2+14)=CalendarYear+1,MONTH(JanSunYear2+14)=1),JanSunYear2+14,""),IF(AND(YEAR(JanSunYear2+21)=CalendarYear+1,MONTH(JanSunYear2+21)=1),JanSunYear2+21,""))</f>
        <v>44947</v>
      </c>
      <c r="N32" s="4"/>
      <c r="O32" s="30">
        <f>IF(DAY(FebSunYear2)=1,IF(AND(YEAR(FebSunYear2+8)=CalendarYear+1,MONTH(FebSunYear2+8)=2),FebSunYear2+8,""),IF(AND(YEAR(FebSunYear2+15)=CalendarYear+1,MONTH(FebSunYear2+15)=2),FebSunYear2+15,""))</f>
        <v>44969</v>
      </c>
      <c r="P32" s="30">
        <f>IF(DAY(FebSunYear2)=1,IF(AND(YEAR(FebSunYear2+9)=CalendarYear+1,MONTH(FebSunYear2+9)=2),FebSunYear2+9,""),IF(AND(YEAR(FebSunYear2+16)=CalendarYear+1,MONTH(FebSunYear2+16)=2),FebSunYear2+16,""))</f>
        <v>44970</v>
      </c>
      <c r="Q32" s="30">
        <f>IF(DAY(FebSunYear2)=1,IF(AND(YEAR(FebSunYear2+10)=CalendarYear+1,MONTH(FebSunYear2+10)=2),FebSunYear2+10,""),IF(AND(YEAR(FebSunYear2+17)=CalendarYear+1,MONTH(FebSunYear2+17)=2),FebSunYear2+17,""))</f>
        <v>44971</v>
      </c>
      <c r="R32" s="30">
        <f>IF(DAY(FebSunYear2)=1,IF(AND(YEAR(FebSunYear2+11)=CalendarYear+1,MONTH(FebSunYear2+11)=2),FebSunYear2+11,""),IF(AND(YEAR(FebSunYear2+18)=CalendarYear+1,MONTH(FebSunYear2+18)=2),FebSunYear2+18,""))</f>
        <v>44972</v>
      </c>
      <c r="S32" s="30">
        <f>IF(DAY(FebSunYear2)=1,IF(AND(YEAR(FebSunYear2+12)=CalendarYear+1,MONTH(FebSunYear2+12)=2),FebSunYear2+12,""),IF(AND(YEAR(FebSunYear2+19)=CalendarYear+1,MONTH(FebSunYear2+19)=2),FebSunYear2+19,""))</f>
        <v>44973</v>
      </c>
      <c r="T32" s="30">
        <f>IF(DAY(FebSunYear2)=1,IF(AND(YEAR(FebSunYear2+13)=CalendarYear+1,MONTH(FebSunYear2+13)=2),FebSunYear2+13,""),IF(AND(YEAR(FebSunYear2+20)=CalendarYear+1,MONTH(FebSunYear2+20)=2),FebSunYear2+20,""))</f>
        <v>44974</v>
      </c>
      <c r="U32" s="30">
        <f>IF(DAY(FebSunYear2)=1,IF(AND(YEAR(FebSunYear2+14)=CalendarYear+1,MONTH(FebSunYear2+14)=2),FebSunYear2+14,""),IF(AND(YEAR(FebSunYear2+21)=CalendarYear+1,MONTH(FebSunYear2+21)=2),FebSunYear2+21,""))</f>
        <v>44975</v>
      </c>
      <c r="V32" s="4"/>
      <c r="W32" s="30">
        <f>IF(DAY(MarSunYear2)=1,IF(AND(YEAR(MarSunYear2+8)=CalendarYear+1,MONTH(MarSunYear2+8)=3),MarSunYear2+8,""),IF(AND(YEAR(MarSunYear2+15)=CalendarYear+1,MONTH(MarSunYear2+15)=3),MarSunYear2+15,""))</f>
        <v>44997</v>
      </c>
      <c r="X32" s="30">
        <f>IF(DAY(MarSunYear2)=1,IF(AND(YEAR(MarSunYear2+9)=CalendarYear+1,MONTH(MarSunYear2+9)=3),MarSunYear2+9,""),IF(AND(YEAR(MarSunYear2+16)=CalendarYear+1,MONTH(MarSunYear2+16)=3),MarSunYear2+16,""))</f>
        <v>44998</v>
      </c>
      <c r="Y32" s="30">
        <f>IF(DAY(MarSunYear2)=1,IF(AND(YEAR(MarSunYear2+10)=CalendarYear+1,MONTH(MarSunYear2+10)=3),MarSunYear2+10,""),IF(AND(YEAR(MarSunYear2+17)=CalendarYear+1,MONTH(MarSunYear2+17)=3),MarSunYear2+17,""))</f>
        <v>44999</v>
      </c>
      <c r="Z32" s="30">
        <f>IF(DAY(MarSunYear2)=1,IF(AND(YEAR(MarSunYear2+11)=CalendarYear+1,MONTH(MarSunYear2+11)=3),MarSunYear2+11,""),IF(AND(YEAR(MarSunYear2+18)=CalendarYear+1,MONTH(MarSunYear2+18)=3),MarSunYear2+18,""))</f>
        <v>45000</v>
      </c>
      <c r="AA32" s="30">
        <f>IF(DAY(MarSunYear2)=1,IF(AND(YEAR(MarSunYear2+12)=CalendarYear+1,MONTH(MarSunYear2+12)=3),MarSunYear2+12,""),IF(AND(YEAR(MarSunYear2+19)=CalendarYear+1,MONTH(MarSunYear2+19)=3),MarSunYear2+19,""))</f>
        <v>45001</v>
      </c>
      <c r="AB32" s="30">
        <f>IF(DAY(MarSunYear2)=1,IF(AND(YEAR(MarSunYear2+13)=CalendarYear+1,MONTH(MarSunYear2+13)=3),MarSunYear2+13,""),IF(AND(YEAR(MarSunYear2+20)=CalendarYear+1,MONTH(MarSunYear2+20)=3),MarSunYear2+20,""))</f>
        <v>45002</v>
      </c>
      <c r="AC32" s="30">
        <f>IF(DAY(MarSunYear2)=1,IF(AND(YEAR(MarSunYear2+14)=CalendarYear+1,MONTH(MarSunYear2+14)=3),MarSunYear2+14,""),IF(AND(YEAR(MarSunYear2+21)=CalendarYear+1,MONTH(MarSunYear2+21)=3),MarSunYear2+21,""))</f>
        <v>45003</v>
      </c>
      <c r="AD32" s="4"/>
      <c r="AE32" s="30">
        <f>IF(DAY(AprSunYear2)=1,IF(AND(YEAR(AprSunYear2+8)=CalendarYear+1,MONTH(AprSunYear2+8)=4),AprSunYear2+8,""),IF(AND(YEAR(AprSunYear2+15)=CalendarYear+1,MONTH(AprSunYear2+15)=4),AprSunYear2+15,""))</f>
        <v>45025</v>
      </c>
      <c r="AF32" s="30">
        <f>IF(DAY(AprSunYear2)=1,IF(AND(YEAR(AprSunYear2+9)=CalendarYear+1,MONTH(AprSunYear2+9)=4),AprSunYear2+9,""),IF(AND(YEAR(AprSunYear2+16)=CalendarYear+1,MONTH(AprSunYear2+16)=4),AprSunYear2+16,""))</f>
        <v>45026</v>
      </c>
      <c r="AG32" s="30">
        <f>IF(DAY(AprSunYear2)=1,IF(AND(YEAR(AprSunYear2+10)=CalendarYear+1,MONTH(AprSunYear2+10)=4),AprSunYear2+10,""),IF(AND(YEAR(AprSunYear2+17)=CalendarYear+1,MONTH(AprSunYear2+17)=4),AprSunYear2+17,""))</f>
        <v>45027</v>
      </c>
      <c r="AH32" s="30">
        <f>IF(DAY(AprSunYear2)=1,IF(AND(YEAR(AprSunYear2+11)=CalendarYear+1,MONTH(AprSunYear2+11)=4),AprSunYear2+11,""),IF(AND(YEAR(AprSunYear2+18)=CalendarYear+1,MONTH(AprSunYear2+18)=4),AprSunYear2+18,""))</f>
        <v>45028</v>
      </c>
      <c r="AI32" s="30">
        <f>IF(DAY(AprSunYear2)=1,IF(AND(YEAR(AprSunYear2+12)=CalendarYear+1,MONTH(AprSunYear2+12)=4),AprSunYear2+12,""),IF(AND(YEAR(AprSunYear2+19)=CalendarYear+1,MONTH(AprSunYear2+19)=4),AprSunYear2+19,""))</f>
        <v>45029</v>
      </c>
      <c r="AJ32" s="30">
        <f>IF(DAY(AprSunYear2)=1,IF(AND(YEAR(AprSunYear2+13)=CalendarYear+1,MONTH(AprSunYear2+13)=4),AprSunYear2+13,""),IF(AND(YEAR(AprSunYear2+20)=CalendarYear+1,MONTH(AprSunYear2+20)=4),AprSunYear2+20,""))</f>
        <v>45030</v>
      </c>
      <c r="AK32" s="30">
        <f>IF(DAY(AprSunYear2)=1,IF(AND(YEAR(AprSunYear2+14)=CalendarYear+1,MONTH(AprSunYear2+14)=4),AprSunYear2+14,""),IF(AND(YEAR(AprSunYear2+21)=CalendarYear+1,MONTH(AprSunYear2+21)=4),AprSunYear2+21,""))</f>
        <v>45031</v>
      </c>
      <c r="AL32" s="4"/>
      <c r="AM32" s="30">
        <f>IF(DAY(MaySunYear2)=1,IF(AND(YEAR(MaySunYear2+8)=CalendarYear+1,MONTH(MaySunYear2+8)=5),MaySunYear2+8,""),IF(AND(YEAR(MaySunYear2+15)=CalendarYear+1,MONTH(MaySunYear2+15)=5),MaySunYear2+15,""))</f>
        <v>45060</v>
      </c>
      <c r="AN32" s="30">
        <f>IF(DAY(MaySunYear2)=1,IF(AND(YEAR(MaySunYear2+9)=CalendarYear+1,MONTH(MaySunYear2+9)=5),MaySunYear2+9,""),IF(AND(YEAR(MaySunYear2+16)=CalendarYear+1,MONTH(MaySunYear2+16)=5),MaySunYear2+16,""))</f>
        <v>45061</v>
      </c>
      <c r="AO32" s="30">
        <f>IF(DAY(MaySunYear2)=1,IF(AND(YEAR(MaySunYear2+10)=CalendarYear+1,MONTH(MaySunYear2+10)=5),MaySunYear2+10,""),IF(AND(YEAR(MaySunYear2+17)=CalendarYear+1,MONTH(MaySunYear2+17)=5),MaySunYear2+17,""))</f>
        <v>45062</v>
      </c>
      <c r="AP32" s="30">
        <f>IF(DAY(MaySunYear2)=1,IF(AND(YEAR(MaySunYear2+11)=CalendarYear+1,MONTH(MaySunYear2+11)=5),MaySunYear2+11,""),IF(AND(YEAR(MaySunYear2+18)=CalendarYear+1,MONTH(MaySunYear2+18)=5),MaySunYear2+18,""))</f>
        <v>45063</v>
      </c>
      <c r="AQ32" s="30">
        <f>IF(DAY(MaySunYear2)=1,IF(AND(YEAR(MaySunYear2+12)=CalendarYear+1,MONTH(MaySunYear2+12)=5),MaySunYear2+12,""),IF(AND(YEAR(MaySunYear2+19)=CalendarYear+1,MONTH(MaySunYear2+19)=5),MaySunYear2+19,""))</f>
        <v>45064</v>
      </c>
      <c r="AR32" s="30">
        <f>IF(DAY(MaySunYear2)=1,IF(AND(YEAR(MaySunYear2+13)=CalendarYear+1,MONTH(MaySunYear2+13)=5),MaySunYear2+13,""),IF(AND(YEAR(MaySunYear2+20)=CalendarYear+1,MONTH(MaySunYear2+20)=5),MaySunYear2+20,""))</f>
        <v>45065</v>
      </c>
      <c r="AS32" s="30">
        <f>IF(DAY(MaySunYear2)=1,IF(AND(YEAR(MaySunYear2+14)=CalendarYear+1,MONTH(MaySunYear2+14)=5),MaySunYear2+14,""),IF(AND(YEAR(MaySunYear2+21)=CalendarYear+1,MONTH(MaySunYear2+21)=5),MaySunYear2+21,""))</f>
        <v>45066</v>
      </c>
      <c r="AT32" s="20"/>
      <c r="AU32" s="30">
        <f>IF(DAY(JunSunYear2)=1,IF(AND(YEAR(JunSunYear2+8)=CalendarYear+1,MONTH(JunSunYear2+8)=6),JunSunYear2+8,""),IF(AND(YEAR(JunSunYear2+15)=CalendarYear+1,MONTH(JunSunYear2+15)=6),JunSunYear2+15,""))</f>
        <v>45088</v>
      </c>
      <c r="AV32" s="30">
        <f>IF(DAY(JunSunYear2)=1,IF(AND(YEAR(JunSunYear2+9)=CalendarYear+1,MONTH(JunSunYear2+9)=6),JunSunYear2+9,""),IF(AND(YEAR(JunSunYear2+16)=CalendarYear+1,MONTH(JunSunYear2+16)=6),JunSunYear2+16,""))</f>
        <v>45089</v>
      </c>
      <c r="AW32" s="30">
        <f>IF(DAY(JunSunYear2)=1,IF(AND(YEAR(JunSunYear2+10)=CalendarYear+1,MONTH(JunSunYear2+10)=6),JunSunYear2+10,""),IF(AND(YEAR(JunSunYear2+17)=CalendarYear+1,MONTH(JunSunYear2+17)=6),JunSunYear2+17,""))</f>
        <v>45090</v>
      </c>
      <c r="AX32" s="30">
        <f>IF(DAY(JunSunYear2)=1,IF(AND(YEAR(JunSunYear2+11)=CalendarYear+1,MONTH(JunSunYear2+11)=6),JunSunYear2+11,""),IF(AND(YEAR(JunSunYear2+18)=CalendarYear+1,MONTH(JunSunYear2+18)=6),JunSunYear2+18,""))</f>
        <v>45091</v>
      </c>
      <c r="AY32" s="30">
        <f>IF(DAY(JunSunYear2)=1,IF(AND(YEAR(JunSunYear2+12)=CalendarYear+1,MONTH(JunSunYear2+12)=6),JunSunYear2+12,""),IF(AND(YEAR(JunSunYear2+19)=CalendarYear+1,MONTH(JunSunYear2+19)=6),JunSunYear2+19,""))</f>
        <v>45092</v>
      </c>
      <c r="AZ32" s="30">
        <f>IF(DAY(JunSunYear2)=1,IF(AND(YEAR(JunSunYear2+13)=CalendarYear+1,MONTH(JunSunYear2+13)=6),JunSunYear2+13,""),IF(AND(YEAR(JunSunYear2+20)=CalendarYear+1,MONTH(JunSunYear2+20)=6),JunSunYear2+20,""))</f>
        <v>45093</v>
      </c>
      <c r="BA32" s="34">
        <f>IF(DAY(JunSunYear2)=1,IF(AND(YEAR(JunSunYear2+14)=CalendarYear+1,MONTH(JunSunYear2+14)=6),JunSunYear2+14,""),IF(AND(YEAR(JunSunYear2+21)=CalendarYear+1,MONTH(JunSunYear2+21)=6),JunSunYear2+21,""))</f>
        <v>45094</v>
      </c>
    </row>
    <row r="33" spans="3:53" x14ac:dyDescent="0.25">
      <c r="G33" s="31">
        <f>IF(DAY(JanSunYear2)=1,IF(AND(YEAR(JanSunYear2+15)=CalendarYear+1,MONTH(JanSunYear2+15)=1),JanSunYear2+15,""),IF(AND(YEAR(JanSunYear2+22)=CalendarYear+1,MONTH(JanSunYear2+22)=1),JanSunYear2+22,""))</f>
        <v>44948</v>
      </c>
      <c r="H33" s="30">
        <f>IF(DAY(JanSunYear2)=1,IF(AND(YEAR(JanSunYear2+16)=CalendarYear+1,MONTH(JanSunYear2+16)=1),JanSunYear2+16,""),IF(AND(YEAR(JanSunYear2+23)=CalendarYear+1,MONTH(JanSunYear2+23)=1),JanSunYear2+23,""))</f>
        <v>44949</v>
      </c>
      <c r="I33" s="30">
        <f>IF(DAY(JanSunYear2)=1,IF(AND(YEAR(JanSunYear2+17)=CalendarYear+1,MONTH(JanSunYear2+17)=1),JanSunYear2+17,""),IF(AND(YEAR(JanSunYear2+24)=CalendarYear+1,MONTH(JanSunYear2+24)=1),JanSunYear2+24,""))</f>
        <v>44950</v>
      </c>
      <c r="J33" s="30">
        <f>IF(DAY(JanSunYear2)=1,IF(AND(YEAR(JanSunYear2+18)=CalendarYear+1,MONTH(JanSunYear2+18)=1),JanSunYear2+18,""),IF(AND(YEAR(JanSunYear2+25)=CalendarYear+1,MONTH(JanSunYear2+25)=1),JanSunYear2+25,""))</f>
        <v>44951</v>
      </c>
      <c r="K33" s="30">
        <f>IF(DAY(JanSunYear2)=1,IF(AND(YEAR(JanSunYear2+19)=CalendarYear+1,MONTH(JanSunYear2+19)=1),JanSunYear2+19,""),IF(AND(YEAR(JanSunYear2+26)=CalendarYear+1,MONTH(JanSunYear2+26)=1),JanSunYear2+26,""))</f>
        <v>44952</v>
      </c>
      <c r="L33" s="30">
        <f>IF(DAY(JanSunYear2)=1,IF(AND(YEAR(JanSunYear2+20)=CalendarYear+1,MONTH(JanSunYear2+20)=1),JanSunYear2+20,""),IF(AND(YEAR(JanSunYear2+27)=CalendarYear+1,MONTH(JanSunYear2+27)=1),JanSunYear2+27,""))</f>
        <v>44953</v>
      </c>
      <c r="M33" s="30">
        <f>IF(DAY(JanSunYear2)=1,IF(AND(YEAR(JanSunYear2+21)=CalendarYear+1,MONTH(JanSunYear2+21)=1),JanSunYear2+21,""),IF(AND(YEAR(JanSunYear2+28)=CalendarYear+1,MONTH(JanSunYear2+28)=1),JanSunYear2+28,""))</f>
        <v>44954</v>
      </c>
      <c r="N33" s="4"/>
      <c r="O33" s="30">
        <f>IF(DAY(FebSunYear2)=1,IF(AND(YEAR(FebSunYear2+15)=CalendarYear+1,MONTH(FebSunYear2+15)=2),FebSunYear2+15,""),IF(AND(YEAR(FebSunYear2+22)=CalendarYear+1,MONTH(FebSunYear2+22)=2),FebSunYear2+22,""))</f>
        <v>44976</v>
      </c>
      <c r="P33" s="30">
        <f>IF(DAY(FebSunYear2)=1,IF(AND(YEAR(FebSunYear2+16)=CalendarYear+1,MONTH(FebSunYear2+16)=2),FebSunYear2+16,""),IF(AND(YEAR(FebSunYear2+23)=CalendarYear+1,MONTH(FebSunYear2+23)=2),FebSunYear2+23,""))</f>
        <v>44977</v>
      </c>
      <c r="Q33" s="30">
        <f>IF(DAY(FebSunYear2)=1,IF(AND(YEAR(FebSunYear2+17)=CalendarYear+1,MONTH(FebSunYear2+17)=2),FebSunYear2+17,""),IF(AND(YEAR(FebSunYear2+24)=CalendarYear+1,MONTH(FebSunYear2+24)=2),FebSunYear2+24,""))</f>
        <v>44978</v>
      </c>
      <c r="R33" s="30">
        <f>IF(DAY(FebSunYear2)=1,IF(AND(YEAR(FebSunYear2+18)=CalendarYear+1,MONTH(FebSunYear2+18)=2),FebSunYear2+18,""),IF(AND(YEAR(FebSunYear2+25)=CalendarYear+1,MONTH(FebSunYear2+25)=2),FebSunYear2+25,""))</f>
        <v>44979</v>
      </c>
      <c r="S33" s="30">
        <f>IF(DAY(FebSunYear2)=1,IF(AND(YEAR(FebSunYear2+19)=CalendarYear+1,MONTH(FebSunYear2+19)=2),FebSunYear2+19,""),IF(AND(YEAR(FebSunYear2+26)=CalendarYear+1,MONTH(FebSunYear2+26)=2),FebSunYear2+26,""))</f>
        <v>44980</v>
      </c>
      <c r="T33" s="30">
        <f>IF(DAY(FebSunYear2)=1,IF(AND(YEAR(FebSunYear2+20)=CalendarYear+1,MONTH(FebSunYear2+20)=2),FebSunYear2+20,""),IF(AND(YEAR(FebSunYear2+27)=CalendarYear+1,MONTH(FebSunYear2+27)=2),FebSunYear2+27,""))</f>
        <v>44981</v>
      </c>
      <c r="U33" s="30">
        <f>IF(DAY(FebSunYear2)=1,IF(AND(YEAR(FebSunYear2+21)=CalendarYear+1,MONTH(FebSunYear2+21)=2),FebSunYear2+21,""),IF(AND(YEAR(FebSunYear2+28)=CalendarYear+1,MONTH(FebSunYear2+28)=2),FebSunYear2+28,""))</f>
        <v>44982</v>
      </c>
      <c r="V33" s="4"/>
      <c r="W33" s="30">
        <f>IF(DAY(MarSunYear2)=1,IF(AND(YEAR(MarSunYear2+15)=CalendarYear+1,MONTH(MarSunYear2+15)=3),MarSunYear2+15,""),IF(AND(YEAR(MarSunYear2+22)=CalendarYear+1,MONTH(MarSunYear2+22)=3),MarSunYear2+22,""))</f>
        <v>45004</v>
      </c>
      <c r="X33" s="30">
        <f>IF(DAY(MarSunYear2)=1,IF(AND(YEAR(MarSunYear2+16)=CalendarYear+1,MONTH(MarSunYear2+16)=3),MarSunYear2+16,""),IF(AND(YEAR(MarSunYear2+23)=CalendarYear+1,MONTH(MarSunYear2+23)=3),MarSunYear2+23,""))</f>
        <v>45005</v>
      </c>
      <c r="Y33" s="30">
        <f>IF(DAY(MarSunYear2)=1,IF(AND(YEAR(MarSunYear2+17)=CalendarYear+1,MONTH(MarSunYear2+17)=3),MarSunYear2+17,""),IF(AND(YEAR(MarSunYear2+24)=CalendarYear+1,MONTH(MarSunYear2+24)=3),MarSunYear2+24,""))</f>
        <v>45006</v>
      </c>
      <c r="Z33" s="30">
        <f>IF(DAY(MarSunYear2)=1,IF(AND(YEAR(MarSunYear2+18)=CalendarYear+1,MONTH(MarSunYear2+18)=3),MarSunYear2+18,""),IF(AND(YEAR(MarSunYear2+25)=CalendarYear+1,MONTH(MarSunYear2+25)=3),MarSunYear2+25,""))</f>
        <v>45007</v>
      </c>
      <c r="AA33" s="30">
        <f>IF(DAY(MarSunYear2)=1,IF(AND(YEAR(MarSunYear2+19)=CalendarYear+1,MONTH(MarSunYear2+19)=3),MarSunYear2+19,""),IF(AND(YEAR(MarSunYear2+26)=CalendarYear+1,MONTH(MarSunYear2+26)=3),MarSunYear2+26,""))</f>
        <v>45008</v>
      </c>
      <c r="AB33" s="30">
        <f>IF(DAY(MarSunYear2)=1,IF(AND(YEAR(MarSunYear2+20)=CalendarYear+1,MONTH(MarSunYear2+20)=3),MarSunYear2+20,""),IF(AND(YEAR(MarSunYear2+27)=CalendarYear+1,MONTH(MarSunYear2+27)=3),MarSunYear2+27,""))</f>
        <v>45009</v>
      </c>
      <c r="AC33" s="30">
        <f>IF(DAY(MarSunYear2)=1,IF(AND(YEAR(MarSunYear2+21)=CalendarYear+1,MONTH(MarSunYear2+21)=3),MarSunYear2+21,""),IF(AND(YEAR(MarSunYear2+28)=CalendarYear+1,MONTH(MarSunYear2+28)=3),MarSunYear2+28,""))</f>
        <v>45010</v>
      </c>
      <c r="AD33" s="4"/>
      <c r="AE33" s="30">
        <f>IF(DAY(AprSunYear2)=1,IF(AND(YEAR(AprSunYear2+15)=CalendarYear+1,MONTH(AprSunYear2+15)=4),AprSunYear2+15,""),IF(AND(YEAR(AprSunYear2+22)=CalendarYear+1,MONTH(AprSunYear2+22)=4),AprSunYear2+22,""))</f>
        <v>45032</v>
      </c>
      <c r="AF33" s="30">
        <f>IF(DAY(AprSunYear2)=1,IF(AND(YEAR(AprSunYear2+16)=CalendarYear+1,MONTH(AprSunYear2+16)=4),AprSunYear2+16,""),IF(AND(YEAR(AprSunYear2+23)=CalendarYear+1,MONTH(AprSunYear2+23)=4),AprSunYear2+23,""))</f>
        <v>45033</v>
      </c>
      <c r="AG33" s="30">
        <f>IF(DAY(AprSunYear2)=1,IF(AND(YEAR(AprSunYear2+17)=CalendarYear+1,MONTH(AprSunYear2+17)=4),AprSunYear2+17,""),IF(AND(YEAR(AprSunYear2+24)=CalendarYear+1,MONTH(AprSunYear2+24)=4),AprSunYear2+24,""))</f>
        <v>45034</v>
      </c>
      <c r="AH33" s="30">
        <f>IF(DAY(AprSunYear2)=1,IF(AND(YEAR(AprSunYear2+18)=CalendarYear+1,MONTH(AprSunYear2+18)=4),AprSunYear2+18,""),IF(AND(YEAR(AprSunYear2+25)=CalendarYear+1,MONTH(AprSunYear2+25)=4),AprSunYear2+25,""))</f>
        <v>45035</v>
      </c>
      <c r="AI33" s="30">
        <f>IF(DAY(AprSunYear2)=1,IF(AND(YEAR(AprSunYear2+19)=CalendarYear+1,MONTH(AprSunYear2+19)=4),AprSunYear2+19,""),IF(AND(YEAR(AprSunYear2+26)=CalendarYear+1,MONTH(AprSunYear2+26)=4),AprSunYear2+26,""))</f>
        <v>45036</v>
      </c>
      <c r="AJ33" s="30">
        <f>IF(DAY(AprSunYear2)=1,IF(AND(YEAR(AprSunYear2+20)=CalendarYear+1,MONTH(AprSunYear2+20)=4),AprSunYear2+20,""),IF(AND(YEAR(AprSunYear2+27)=CalendarYear+1,MONTH(AprSunYear2+27)=4),AprSunYear2+27,""))</f>
        <v>45037</v>
      </c>
      <c r="AK33" s="30">
        <f>IF(DAY(AprSunYear2)=1,IF(AND(YEAR(AprSunYear2+21)=CalendarYear+1,MONTH(AprSunYear2+21)=4),AprSunYear2+21,""),IF(AND(YEAR(AprSunYear2+28)=CalendarYear+1,MONTH(AprSunYear2+28)=4),AprSunYear2+28,""))</f>
        <v>45038</v>
      </c>
      <c r="AL33" s="4"/>
      <c r="AM33" s="30">
        <f>IF(DAY(MaySunYear2)=1,IF(AND(YEAR(MaySunYear2+15)=CalendarYear+1,MONTH(MaySunYear2+15)=5),MaySunYear2+15,""),IF(AND(YEAR(MaySunYear2+22)=CalendarYear+1,MONTH(MaySunYear2+22)=5),MaySunYear2+22,""))</f>
        <v>45067</v>
      </c>
      <c r="AN33" s="30">
        <f>IF(DAY(MaySunYear2)=1,IF(AND(YEAR(MaySunYear2+16)=CalendarYear+1,MONTH(MaySunYear2+16)=5),MaySunYear2+16,""),IF(AND(YEAR(MaySunYear2+23)=CalendarYear+1,MONTH(MaySunYear2+23)=5),MaySunYear2+23,""))</f>
        <v>45068</v>
      </c>
      <c r="AO33" s="30">
        <f>IF(DAY(MaySunYear2)=1,IF(AND(YEAR(MaySunYear2+17)=CalendarYear+1,MONTH(MaySunYear2+17)=5),MaySunYear2+17,""),IF(AND(YEAR(MaySunYear2+24)=CalendarYear+1,MONTH(MaySunYear2+24)=5),MaySunYear2+24,""))</f>
        <v>45069</v>
      </c>
      <c r="AP33" s="30">
        <f>IF(DAY(MaySunYear2)=1,IF(AND(YEAR(MaySunYear2+18)=CalendarYear+1,MONTH(MaySunYear2+18)=5),MaySunYear2+18,""),IF(AND(YEAR(MaySunYear2+25)=CalendarYear+1,MONTH(MaySunYear2+25)=5),MaySunYear2+25,""))</f>
        <v>45070</v>
      </c>
      <c r="AQ33" s="30">
        <f>IF(DAY(MaySunYear2)=1,IF(AND(YEAR(MaySunYear2+19)=CalendarYear+1,MONTH(MaySunYear2+19)=5),MaySunYear2+19,""),IF(AND(YEAR(MaySunYear2+26)=CalendarYear+1,MONTH(MaySunYear2+26)=5),MaySunYear2+26,""))</f>
        <v>45071</v>
      </c>
      <c r="AR33" s="30">
        <f>IF(DAY(MaySunYear2)=1,IF(AND(YEAR(MaySunYear2+20)=CalendarYear+1,MONTH(MaySunYear2+20)=5),MaySunYear2+20,""),IF(AND(YEAR(MaySunYear2+27)=CalendarYear+1,MONTH(MaySunYear2+27)=5),MaySunYear2+27,""))</f>
        <v>45072</v>
      </c>
      <c r="AS33" s="30">
        <f>IF(DAY(MaySunYear2)=1,IF(AND(YEAR(MaySunYear2+21)=CalendarYear+1,MONTH(MaySunYear2+21)=5),MaySunYear2+21,""),IF(AND(YEAR(MaySunYear2+28)=CalendarYear+1,MONTH(MaySunYear2+28)=5),MaySunYear2+28,""))</f>
        <v>45073</v>
      </c>
      <c r="AT33" s="20"/>
      <c r="AU33" s="30">
        <f>IF(DAY(JunSunYear2)=1,IF(AND(YEAR(JunSunYear2+15)=CalendarYear+1,MONTH(JunSunYear2+15)=6),JunSunYear2+15,""),IF(AND(YEAR(JunSunYear2+22)=CalendarYear+1,MONTH(JunSunYear2+22)=6),JunSunYear2+22,""))</f>
        <v>45095</v>
      </c>
      <c r="AV33" s="30">
        <f>IF(DAY(JunSunYear2)=1,IF(AND(YEAR(JunSunYear2+16)=CalendarYear+1,MONTH(JunSunYear2+16)=6),JunSunYear2+16,""),IF(AND(YEAR(JunSunYear2+23)=CalendarYear+1,MONTH(JunSunYear2+23)=6),JunSunYear2+23,""))</f>
        <v>45096</v>
      </c>
      <c r="AW33" s="30">
        <f>IF(DAY(JunSunYear2)=1,IF(AND(YEAR(JunSunYear2+17)=CalendarYear+1,MONTH(JunSunYear2+17)=6),JunSunYear2+17,""),IF(AND(YEAR(JunSunYear2+24)=CalendarYear+1,MONTH(JunSunYear2+24)=6),JunSunYear2+24,""))</f>
        <v>45097</v>
      </c>
      <c r="AX33" s="30">
        <f>IF(DAY(JunSunYear2)=1,IF(AND(YEAR(JunSunYear2+18)=CalendarYear+1,MONTH(JunSunYear2+18)=6),JunSunYear2+18,""),IF(AND(YEAR(JunSunYear2+25)=CalendarYear+1,MONTH(JunSunYear2+25)=6),JunSunYear2+25,""))</f>
        <v>45098</v>
      </c>
      <c r="AY33" s="30">
        <f>IF(DAY(JunSunYear2)=1,IF(AND(YEAR(JunSunYear2+19)=CalendarYear+1,MONTH(JunSunYear2+19)=6),JunSunYear2+19,""),IF(AND(YEAR(JunSunYear2+26)=CalendarYear+1,MONTH(JunSunYear2+26)=6),JunSunYear2+26,""))</f>
        <v>45099</v>
      </c>
      <c r="AZ33" s="30">
        <f>IF(DAY(JunSunYear2)=1,IF(AND(YEAR(JunSunYear2+20)=CalendarYear+1,MONTH(JunSunYear2+20)=6),JunSunYear2+20,""),IF(AND(YEAR(JunSunYear2+27)=CalendarYear+1,MONTH(JunSunYear2+27)=6),JunSunYear2+27,""))</f>
        <v>45100</v>
      </c>
      <c r="BA33" s="34">
        <f>IF(DAY(JunSunYear2)=1,IF(AND(YEAR(JunSunYear2+21)=CalendarYear+1,MONTH(JunSunYear2+21)=6),JunSunYear2+21,""),IF(AND(YEAR(JunSunYear2+28)=CalendarYear+1,MONTH(JunSunYear2+28)=6),JunSunYear2+28,""))</f>
        <v>45101</v>
      </c>
    </row>
    <row r="34" spans="3:53" x14ac:dyDescent="0.25">
      <c r="G34" s="31">
        <f>IF(DAY(JanSunYear2)=1,IF(AND(YEAR(JanSunYear2+22)=CalendarYear+1,MONTH(JanSunYear2+22)=1),JanSunYear2+22,""),IF(AND(YEAR(JanSunYear2+29)=CalendarYear+1,MONTH(JanSunYear2+29)=1),JanSunYear2+29,""))</f>
        <v>44955</v>
      </c>
      <c r="H34" s="30">
        <f>IF(DAY(JanSunYear2)=1,IF(AND(YEAR(JanSunYear2+23)=CalendarYear+1,MONTH(JanSunYear2+23)=1),JanSunYear2+23,""),IF(AND(YEAR(JanSunYear2+30)=CalendarYear+1,MONTH(JanSunYear2+30)=1),JanSunYear2+30,""))</f>
        <v>44956</v>
      </c>
      <c r="I34" s="30">
        <f>IF(DAY(JanSunYear2)=1,IF(AND(YEAR(JanSunYear2+24)=CalendarYear+1,MONTH(JanSunYear2+24)=1),JanSunYear2+24,""),IF(AND(YEAR(JanSunYear2+31)=CalendarYear+1,MONTH(JanSunYear2+31)=1),JanSunYear2+31,""))</f>
        <v>44957</v>
      </c>
      <c r="J34" s="30" t="str">
        <f>IF(DAY(JanSunYear2)=1,IF(AND(YEAR(JanSunYear2+25)=CalendarYear+1,MONTH(JanSunYear2+25)=1),JanSunYear2+25,""),IF(AND(YEAR(JanSunYear2+32)=CalendarYear+1,MONTH(JanSunYear2+32)=1),JanSunYear2+32,""))</f>
        <v/>
      </c>
      <c r="K34" s="30" t="str">
        <f>IF(DAY(JanSunYear2)=1,IF(AND(YEAR(JanSunYear2+26)=CalendarYear+1,MONTH(JanSunYear2+26)=1),JanSunYear2+26,""),IF(AND(YEAR(JanSunYear2+33)=CalendarYear+1,MONTH(JanSunYear2+33)=1),JanSunYear2+33,""))</f>
        <v/>
      </c>
      <c r="L34" s="30" t="str">
        <f>IF(DAY(JanSunYear2)=1,IF(AND(YEAR(JanSunYear2+27)=CalendarYear+1,MONTH(JanSunYear2+27)=1),JanSunYear2+27,""),IF(AND(YEAR(JanSunYear2+34)=CalendarYear+1,MONTH(JanSunYear2+34)=1),JanSunYear2+34,""))</f>
        <v/>
      </c>
      <c r="M34" s="30" t="str">
        <f>IF(DAY(JanSunYear2)=1,IF(AND(YEAR(JanSunYear2+28)=CalendarYear+1,MONTH(JanSunYear2+28)=1),JanSunYear2+28,""),IF(AND(YEAR(JanSunYear2+35)=CalendarYear+1,MONTH(JanSunYear2+35)=1),JanSunYear2+35,""))</f>
        <v/>
      </c>
      <c r="N34" s="4"/>
      <c r="O34" s="30">
        <f>IF(DAY(FebSunYear2)=1,IF(AND(YEAR(FebSunYear2+22)=CalendarYear+1,MONTH(FebSunYear2+22)=2),FebSunYear2+22,""),IF(AND(YEAR(FebSunYear2+29)=CalendarYear+1,MONTH(FebSunYear2+29)=2),FebSunYear2+29,""))</f>
        <v>44983</v>
      </c>
      <c r="P34" s="30">
        <f>IF(DAY(FebSunYear2)=1,IF(AND(YEAR(FebSunYear2+23)=CalendarYear+1,MONTH(FebSunYear2+23)=2),FebSunYear2+23,""),IF(AND(YEAR(FebSunYear2+30)=CalendarYear+1,MONTH(FebSunYear2+30)=2),FebSunYear2+30,""))</f>
        <v>44984</v>
      </c>
      <c r="Q34" s="30">
        <f>IF(DAY(FebSunYear2)=1,IF(AND(YEAR(FebSunYear2+24)=CalendarYear+1,MONTH(FebSunYear2+24)=2),FebSunYear2+24,""),IF(AND(YEAR(FebSunYear2+31)=CalendarYear+1,MONTH(FebSunYear2+31)=2),FebSunYear2+31,""))</f>
        <v>44985</v>
      </c>
      <c r="R34" s="30" t="str">
        <f>IF(DAY(FebSunYear2)=1,IF(AND(YEAR(FebSunYear2+25)=CalendarYear+1,MONTH(FebSunYear2+25)=2),FebSunYear2+25,""),IF(AND(YEAR(FebSunYear2+32)=CalendarYear+1,MONTH(FebSunYear2+32)=2),FebSunYear2+32,""))</f>
        <v/>
      </c>
      <c r="S34" s="30" t="str">
        <f>IF(DAY(FebSunYear2)=1,IF(AND(YEAR(FebSunYear2+26)=CalendarYear+1,MONTH(FebSunYear2+26)=2),FebSunYear2+26,""),IF(AND(YEAR(FebSunYear2+33)=CalendarYear+1,MONTH(FebSunYear2+33)=2),FebSunYear2+33,""))</f>
        <v/>
      </c>
      <c r="T34" s="30" t="str">
        <f>IF(DAY(FebSunYear2)=1,IF(AND(YEAR(FebSunYear2+27)=CalendarYear+1,MONTH(FebSunYear2+27)=2),FebSunYear2+27,""),IF(AND(YEAR(FebSunYear2+34)=CalendarYear+1,MONTH(FebSunYear2+34)=2),FebSunYear2+34,""))</f>
        <v/>
      </c>
      <c r="U34" s="30" t="str">
        <f>IF(DAY(FebSunYear2)=1,IF(AND(YEAR(FebSunYear2+28)=CalendarYear+1,MONTH(FebSunYear2+28)=2),FebSunYear2+28,""),IF(AND(YEAR(FebSunYear2+35)=CalendarYear+1,MONTH(FebSunYear2+35)=2),FebSunYear2+35,""))</f>
        <v/>
      </c>
      <c r="V34" s="4"/>
      <c r="W34" s="30">
        <f>IF(DAY(MarSunYear2)=1,IF(AND(YEAR(MarSunYear2+22)=CalendarYear+1,MONTH(MarSunYear2+22)=3),MarSunYear2+22,""),IF(AND(YEAR(MarSunYear2+29)=CalendarYear+1,MONTH(MarSunYear2+29)=3),MarSunYear2+29,""))</f>
        <v>45011</v>
      </c>
      <c r="X34" s="30">
        <f>IF(DAY(MarSunYear2)=1,IF(AND(YEAR(MarSunYear2+23)=CalendarYear+1,MONTH(MarSunYear2+23)=3),MarSunYear2+23,""),IF(AND(YEAR(MarSunYear2+30)=CalendarYear+1,MONTH(MarSunYear2+30)=3),MarSunYear2+30,""))</f>
        <v>45012</v>
      </c>
      <c r="Y34" s="30">
        <f>IF(DAY(MarSunYear2)=1,IF(AND(YEAR(MarSunYear2+24)=CalendarYear+1,MONTH(MarSunYear2+24)=3),MarSunYear2+24,""),IF(AND(YEAR(MarSunYear2+31)=CalendarYear+1,MONTH(MarSunYear2+31)=3),MarSunYear2+31,""))</f>
        <v>45013</v>
      </c>
      <c r="Z34" s="30">
        <f>IF(DAY(MarSunYear2)=1,IF(AND(YEAR(MarSunYear2+25)=CalendarYear+1,MONTH(MarSunYear2+25)=3),MarSunYear2+25,""),IF(AND(YEAR(MarSunYear2+32)=CalendarYear+1,MONTH(MarSunYear2+32)=3),MarSunYear2+32,""))</f>
        <v>45014</v>
      </c>
      <c r="AA34" s="30">
        <f>IF(DAY(MarSunYear2)=1,IF(AND(YEAR(MarSunYear2+26)=CalendarYear+1,MONTH(MarSunYear2+26)=3),MarSunYear2+26,""),IF(AND(YEAR(MarSunYear2+33)=CalendarYear+1,MONTH(MarSunYear2+33)=3),MarSunYear2+33,""))</f>
        <v>45015</v>
      </c>
      <c r="AB34" s="30">
        <f>IF(DAY(MarSunYear2)=1,IF(AND(YEAR(MarSunYear2+27)=CalendarYear+1,MONTH(MarSunYear2+27)=3),MarSunYear2+27,""),IF(AND(YEAR(MarSunYear2+34)=CalendarYear+1,MONTH(MarSunYear2+34)=3),MarSunYear2+34,""))</f>
        <v>45016</v>
      </c>
      <c r="AC34" s="30" t="str">
        <f>IF(DAY(MarSunYear2)=1,IF(AND(YEAR(MarSunYear2+28)=CalendarYear+1,MONTH(MarSunYear2+28)=3),MarSunYear2+28,""),IF(AND(YEAR(MarSunYear2+35)=CalendarYear+1,MONTH(MarSunYear2+35)=3),MarSunYear2+35,""))</f>
        <v/>
      </c>
      <c r="AD34" s="4"/>
      <c r="AE34" s="30">
        <f>IF(DAY(AprSunYear2)=1,IF(AND(YEAR(AprSunYear2+22)=CalendarYear+1,MONTH(AprSunYear2+22)=4),AprSunYear2+22,""),IF(AND(YEAR(AprSunYear2+29)=CalendarYear+1,MONTH(AprSunYear2+29)=4),AprSunYear2+29,""))</f>
        <v>45039</v>
      </c>
      <c r="AF34" s="30">
        <f>IF(DAY(AprSunYear2)=1,IF(AND(YEAR(AprSunYear2+23)=CalendarYear+1,MONTH(AprSunYear2+23)=4),AprSunYear2+23,""),IF(AND(YEAR(AprSunYear2+30)=CalendarYear+1,MONTH(AprSunYear2+30)=4),AprSunYear2+30,""))</f>
        <v>45040</v>
      </c>
      <c r="AG34" s="30">
        <f>IF(DAY(AprSunYear2)=1,IF(AND(YEAR(AprSunYear2+24)=CalendarYear+1,MONTH(AprSunYear2+24)=4),AprSunYear2+24,""),IF(AND(YEAR(AprSunYear2+31)=CalendarYear+1,MONTH(AprSunYear2+31)=4),AprSunYear2+31,""))</f>
        <v>45041</v>
      </c>
      <c r="AH34" s="30">
        <f>IF(DAY(AprSunYear2)=1,IF(AND(YEAR(AprSunYear2+25)=CalendarYear+1,MONTH(AprSunYear2+25)=4),AprSunYear2+25,""),IF(AND(YEAR(AprSunYear2+32)=CalendarYear+1,MONTH(AprSunYear2+32)=4),AprSunYear2+32,""))</f>
        <v>45042</v>
      </c>
      <c r="AI34" s="30">
        <f>IF(DAY(AprSunYear2)=1,IF(AND(YEAR(AprSunYear2+26)=CalendarYear+1,MONTH(AprSunYear2+26)=4),AprSunYear2+26,""),IF(AND(YEAR(AprSunYear2+33)=CalendarYear+1,MONTH(AprSunYear2+33)=4),AprSunYear2+33,""))</f>
        <v>45043</v>
      </c>
      <c r="AJ34" s="30">
        <f>IF(DAY(AprSunYear2)=1,IF(AND(YEAR(AprSunYear2+27)=CalendarYear+1,MONTH(AprSunYear2+27)=4),AprSunYear2+27,""),IF(AND(YEAR(AprSunYear2+34)=CalendarYear+1,MONTH(AprSunYear2+34)=4),AprSunYear2+34,""))</f>
        <v>45044</v>
      </c>
      <c r="AK34" s="30">
        <f>IF(DAY(AprSunYear2)=1,IF(AND(YEAR(AprSunYear2+28)=CalendarYear+1,MONTH(AprSunYear2+28)=4),AprSunYear2+28,""),IF(AND(YEAR(AprSunYear2+35)=CalendarYear+1,MONTH(AprSunYear2+35)=4),AprSunYear2+35,""))</f>
        <v>45045</v>
      </c>
      <c r="AL34" s="4"/>
      <c r="AM34" s="30">
        <f>IF(DAY(MaySunYear2)=1,IF(AND(YEAR(MaySunYear2+22)=CalendarYear+1,MONTH(MaySunYear2+22)=5),MaySunYear2+22,""),IF(AND(YEAR(MaySunYear2+29)=CalendarYear+1,MONTH(MaySunYear2+29)=5),MaySunYear2+29,""))</f>
        <v>45074</v>
      </c>
      <c r="AN34" s="30">
        <f>IF(DAY(MaySunYear2)=1,IF(AND(YEAR(MaySunYear2+23)=CalendarYear+1,MONTH(MaySunYear2+23)=5),MaySunYear2+23,""),IF(AND(YEAR(MaySunYear2+30)=CalendarYear+1,MONTH(MaySunYear2+30)=5),MaySunYear2+30,""))</f>
        <v>45075</v>
      </c>
      <c r="AO34" s="30">
        <f>IF(DAY(MaySunYear2)=1,IF(AND(YEAR(MaySunYear2+24)=CalendarYear+1,MONTH(MaySunYear2+24)=5),MaySunYear2+24,""),IF(AND(YEAR(MaySunYear2+31)=CalendarYear+1,MONTH(MaySunYear2+31)=5),MaySunYear2+31,""))</f>
        <v>45076</v>
      </c>
      <c r="AP34" s="30">
        <f>IF(DAY(MaySunYear2)=1,IF(AND(YEAR(MaySunYear2+25)=CalendarYear+1,MONTH(MaySunYear2+25)=5),MaySunYear2+25,""),IF(AND(YEAR(MaySunYear2+32)=CalendarYear+1,MONTH(MaySunYear2+32)=5),MaySunYear2+32,""))</f>
        <v>45077</v>
      </c>
      <c r="AQ34" s="30" t="str">
        <f>IF(DAY(MaySunYear2)=1,IF(AND(YEAR(MaySunYear2+26)=CalendarYear+1,MONTH(MaySunYear2+26)=5),MaySunYear2+26,""),IF(AND(YEAR(MaySunYear2+33)=CalendarYear+1,MONTH(MaySunYear2+33)=5),MaySunYear2+33,""))</f>
        <v/>
      </c>
      <c r="AR34" s="30" t="str">
        <f>IF(DAY(MaySunYear2)=1,IF(AND(YEAR(MaySunYear2+27)=CalendarYear+1,MONTH(MaySunYear2+27)=5),MaySunYear2+27,""),IF(AND(YEAR(MaySunYear2+34)=CalendarYear+1,MONTH(MaySunYear2+34)=5),MaySunYear2+34,""))</f>
        <v/>
      </c>
      <c r="AS34" s="30" t="str">
        <f>IF(DAY(MaySunYear2)=1,IF(AND(YEAR(MaySunYear2+28)=CalendarYear+1,MONTH(MaySunYear2+28)=5),MaySunYear2+28,""),IF(AND(YEAR(MaySunYear2+35)=CalendarYear+1,MONTH(MaySunYear2+35)=5),MaySunYear2+35,""))</f>
        <v/>
      </c>
      <c r="AT34" s="20"/>
      <c r="AU34" s="30">
        <f>IF(DAY(JunSunYear2)=1,IF(AND(YEAR(JunSunYear2+22)=CalendarYear+1,MONTH(JunSunYear2+22)=6),JunSunYear2+22,""),IF(AND(YEAR(JunSunYear2+29)=CalendarYear+1,MONTH(JunSunYear2+29)=6),JunSunYear2+29,""))</f>
        <v>45102</v>
      </c>
      <c r="AV34" s="30">
        <f>IF(DAY(JunSunYear2)=1,IF(AND(YEAR(JunSunYear2+23)=CalendarYear+1,MONTH(JunSunYear2+23)=6),JunSunYear2+23,""),IF(AND(YEAR(JunSunYear2+30)=CalendarYear+1,MONTH(JunSunYear2+30)=6),JunSunYear2+30,""))</f>
        <v>45103</v>
      </c>
      <c r="AW34" s="30">
        <f>IF(DAY(JunSunYear2)=1,IF(AND(YEAR(JunSunYear2+24)=CalendarYear+1,MONTH(JunSunYear2+24)=6),JunSunYear2+24,""),IF(AND(YEAR(JunSunYear2+31)=CalendarYear+1,MONTH(JunSunYear2+31)=6),JunSunYear2+31,""))</f>
        <v>45104</v>
      </c>
      <c r="AX34" s="30">
        <f>IF(DAY(JunSunYear2)=1,IF(AND(YEAR(JunSunYear2+25)=CalendarYear+1,MONTH(JunSunYear2+25)=6),JunSunYear2+25,""),IF(AND(YEAR(JunSunYear2+32)=CalendarYear+1,MONTH(JunSunYear2+32)=6),JunSunYear2+32,""))</f>
        <v>45105</v>
      </c>
      <c r="AY34" s="30">
        <f>IF(DAY(JunSunYear2)=1,IF(AND(YEAR(JunSunYear2+26)=CalendarYear+1,MONTH(JunSunYear2+26)=6),JunSunYear2+26,""),IF(AND(YEAR(JunSunYear2+33)=CalendarYear+1,MONTH(JunSunYear2+33)=6),JunSunYear2+33,""))</f>
        <v>45106</v>
      </c>
      <c r="AZ34" s="30">
        <f>IF(DAY(JunSunYear2)=1,IF(AND(YEAR(JunSunYear2+27)=CalendarYear+1,MONTH(JunSunYear2+27)=6),JunSunYear2+27,""),IF(AND(YEAR(JunSunYear2+34)=CalendarYear+1,MONTH(JunSunYear2+34)=6),JunSunYear2+34,""))</f>
        <v>45107</v>
      </c>
      <c r="BA34" s="34" t="str">
        <f>IF(DAY(JunSunYear2)=1,IF(AND(YEAR(JunSunYear2+28)=CalendarYear+1,MONTH(JunSunYear2+28)=6),JunSunYear2+28,""),IF(AND(YEAR(JunSunYear2+35)=CalendarYear+1,MONTH(JunSunYear2+35)=6),JunSunYear2+35,""))</f>
        <v/>
      </c>
    </row>
    <row r="35" spans="3:53" x14ac:dyDescent="0.25">
      <c r="C35" s="9"/>
      <c r="G35" s="31" t="str">
        <f>IF(DAY(JanSunYear2)=1,IF(AND(YEAR(JanSunYear2+29)=CalendarYear+1,MONTH(JanSunYear2+29)=1),JanSunYear2+29,""),IF(AND(YEAR(JanSunYear2+36)=CalendarYear+1,MONTH(JanSunYear2+36)=1),JanSunYear2+36,""))</f>
        <v/>
      </c>
      <c r="H35" s="30" t="str">
        <f>IF(DAY(JanSunYear2)=1,IF(AND(YEAR(JanSunYear2+30)=CalendarYear+1,MONTH(JanSunYear2+30)=1),JanSunYear2+30,""),IF(AND(YEAR(JanSunYear2+37)=CalendarYear+1,MONTH(JanSunYear2+37)=1),JanSunYear2+37,""))</f>
        <v/>
      </c>
      <c r="I35" s="30" t="str">
        <f>IF(DAY(JanSunYear2)=1,IF(AND(YEAR(JanSunYear2+31)=CalendarYear+1,MONTH(JanSunYear2+31)=1),JanSunYear2+31,""),IF(AND(YEAR(JanSunYear2+38)=CalendarYear+1,MONTH(JanSunYear2+38)=1),JanSunYear2+38,""))</f>
        <v/>
      </c>
      <c r="J35" s="30" t="str">
        <f>IF(DAY(JanSunYear2)=1,IF(AND(YEAR(JanSunYear2+32)=CalendarYear+1,MONTH(JanSunYear2+32)=1),JanSunYear2+32,""),IF(AND(YEAR(JanSunYear2+39)=CalendarYear+1,MONTH(JanSunYear2+39)=1),JanSunYear2+39,""))</f>
        <v/>
      </c>
      <c r="K35" s="30" t="str">
        <f>IF(DAY(JanSunYear2)=1,IF(AND(YEAR(JanSunYear2+33)=CalendarYear+1,MONTH(JanSunYear2+33)=1),JanSunYear2+33,""),IF(AND(YEAR(JanSunYear2+40)=CalendarYear+1,MONTH(JanSunYear2+40)=1),JanSunYear2+40,""))</f>
        <v/>
      </c>
      <c r="L35" s="30" t="str">
        <f>IF(DAY(JanSunYear2)=1,IF(AND(YEAR(JanSunYear2+34)=CalendarYear+1,MONTH(JanSunYear2+34)=1),JanSunYear2+34,""),IF(AND(YEAR(JanSunYear2+41)=CalendarYear+1,MONTH(JanSunYear2+41)=1),JanSunYear2+41,""))</f>
        <v/>
      </c>
      <c r="M35" s="30" t="str">
        <f>IF(DAY(JanSunYear2)=1,IF(AND(YEAR(JanSunYear2+35)=CalendarYear+1,MONTH(JanSunYear2+35)=1),JanSunYear2+35,""),IF(AND(YEAR(JanSunYear2+42)=CalendarYear+1,MONTH(JanSunYear2+42)=1),JanSunYear2+42,""))</f>
        <v/>
      </c>
      <c r="N35" s="4"/>
      <c r="O35" s="30" t="str">
        <f>IF(DAY(FebSunYear2)=1,IF(AND(YEAR(FebSunYear2+29)=CalendarYear+1,MONTH(FebSunYear2+29)=2),FebSunYear2+29,""),IF(AND(YEAR(FebSunYear2+36)=CalendarYear+1,MONTH(FebSunYear2+36)=2),FebSunYear2+36,""))</f>
        <v/>
      </c>
      <c r="P35" s="30" t="str">
        <f>IF(DAY(FebSunYear2)=1,IF(AND(YEAR(FebSunYear2+30)=CalendarYear+1,MONTH(FebSunYear2+30)=2),FebSunYear2+30,""),IF(AND(YEAR(FebSunYear2+37)=CalendarYear+1,MONTH(FebSunYear2+37)=2),FebSunYear2+37,""))</f>
        <v/>
      </c>
      <c r="Q35" s="30" t="str">
        <f>IF(DAY(FebSunYear2)=1,IF(AND(YEAR(FebSunYear2+31)=CalendarYear+1,MONTH(FebSunYear2+31)=2),FebSunYear2+31,""),IF(AND(YEAR(FebSunYear2+38)=CalendarYear+1,MONTH(FebSunYear2+38)=2),FebSunYear2+38,""))</f>
        <v/>
      </c>
      <c r="R35" s="30" t="str">
        <f>IF(DAY(FebSunYear2)=1,IF(AND(YEAR(FebSunYear2+32)=CalendarYear+1,MONTH(FebSunYear2+32)=2),FebSunYear2+32,""),IF(AND(YEAR(FebSunYear2+39)=CalendarYear+1,MONTH(FebSunYear2+39)=2),FebSunYear2+39,""))</f>
        <v/>
      </c>
      <c r="S35" s="30" t="str">
        <f>IF(DAY(FebSunYear2)=1,IF(AND(YEAR(FebSunYear2+33)=CalendarYear+1,MONTH(FebSunYear2+33)=2),FebSunYear2+33,""),IF(AND(YEAR(FebSunYear2+40)=CalendarYear+1,MONTH(FebSunYear2+40)=2),FebSunYear2+40,""))</f>
        <v/>
      </c>
      <c r="T35" s="30" t="str">
        <f>IF(DAY(FebSunYear2)=1,IF(AND(YEAR(FebSunYear2+34)=CalendarYear+1,MONTH(FebSunYear2+34)=2),FebSunYear2+34,""),IF(AND(YEAR(FebSunYear2+41)=CalendarYear+1,MONTH(FebSunYear2+41)=2),FebSunYear2+41,""))</f>
        <v/>
      </c>
      <c r="U35" s="30" t="str">
        <f>IF(DAY(FebSunYear2)=1,IF(AND(YEAR(FebSunYear2+35)=CalendarYear+1,MONTH(FebSunYear2+35)=2),FebSunYear2+35,""),IF(AND(YEAR(FebSunYear2+42)=CalendarYear+1,MONTH(FebSunYear2+42)=2),FebSunYear2+42,""))</f>
        <v/>
      </c>
      <c r="V35" s="4"/>
      <c r="W35" s="30" t="str">
        <f>IF(DAY(MarSunYear2)=1,IF(AND(YEAR(MarSunYear2+29)=CalendarYear+1,MONTH(MarSunYear2+29)=3),MarSunYear2+29,""),IF(AND(YEAR(MarSunYear2+36)=CalendarYear+1,MONTH(MarSunYear2+36)=3),MarSunYear2+36,""))</f>
        <v/>
      </c>
      <c r="X35" s="30" t="str">
        <f>IF(DAY(MarSunYear2)=1,IF(AND(YEAR(MarSunYear2+30)=CalendarYear+1,MONTH(MarSunYear2+30)=3),MarSunYear2+30,""),IF(AND(YEAR(MarSunYear2+37)=CalendarYear+1,MONTH(MarSunYear2+37)=3),MarSunYear2+37,""))</f>
        <v/>
      </c>
      <c r="Y35" s="30" t="str">
        <f>IF(DAY(MarSunYear2)=1,IF(AND(YEAR(MarSunYear2+31)=CalendarYear+1,MONTH(MarSunYear2+31)=3),MarSunYear2+31,""),IF(AND(YEAR(MarSunYear2+38)=CalendarYear+1,MONTH(MarSunYear2+38)=3),MarSunYear2+38,""))</f>
        <v/>
      </c>
      <c r="Z35" s="30" t="str">
        <f>IF(DAY(MarSunYear2)=1,IF(AND(YEAR(MarSunYear2+32)=CalendarYear+1,MONTH(MarSunYear2+32)=3),MarSunYear2+32,""),IF(AND(YEAR(MarSunYear2+39)=CalendarYear+1,MONTH(MarSunYear2+39)=3),MarSunYear2+39,""))</f>
        <v/>
      </c>
      <c r="AA35" s="30" t="str">
        <f>IF(DAY(MarSunYear2)=1,IF(AND(YEAR(MarSunYear2+33)=CalendarYear+1,MONTH(MarSunYear2+33)=3),MarSunYear2+33,""),IF(AND(YEAR(MarSunYear2+40)=CalendarYear+1,MONTH(MarSunYear2+40)=3),MarSunYear2+40,""))</f>
        <v/>
      </c>
      <c r="AB35" s="30" t="str">
        <f>IF(DAY(MarSunYear2)=1,IF(AND(YEAR(MarSunYear2+34)=CalendarYear+1,MONTH(MarSunYear2+34)=3),MarSunYear2+34,""),IF(AND(YEAR(MarSunYear2+41)=CalendarYear+1,MONTH(MarSunYear2+41)=3),MarSunYear2+41,""))</f>
        <v/>
      </c>
      <c r="AC35" s="30" t="str">
        <f>IF(DAY(MarSunYear2)=1,IF(AND(YEAR(MarSunYear2+35)=CalendarYear+1,MONTH(MarSunYear2+35)=3),MarSunYear2+35,""),IF(AND(YEAR(MarSunYear2+42)=CalendarYear+1,MONTH(MarSunYear2+42)=3),MarSunYear2+42,""))</f>
        <v/>
      </c>
      <c r="AD35" s="4"/>
      <c r="AE35" s="30">
        <f>IF(DAY(AprSunYear2)=1,IF(AND(YEAR(AprSunYear2+29)=CalendarYear+1,MONTH(AprSunYear2+29)=4),AprSunYear2+29,""),IF(AND(YEAR(AprSunYear2+36)=CalendarYear+1,MONTH(AprSunYear2+36)=4),AprSunYear2+36,""))</f>
        <v>45046</v>
      </c>
      <c r="AF35" s="30" t="str">
        <f>IF(DAY(AprSunYear2)=1,IF(AND(YEAR(AprSunYear2+30)=CalendarYear+1,MONTH(AprSunYear2+30)=4),AprSunYear2+30,""),IF(AND(YEAR(AprSunYear2+37)=CalendarYear+1,MONTH(AprSunYear2+37)=4),AprSunYear2+37,""))</f>
        <v/>
      </c>
      <c r="AG35" s="30" t="str">
        <f>IF(DAY(AprSunYear2)=1,IF(AND(YEAR(AprSunYear2+31)=CalendarYear+1,MONTH(AprSunYear2+31)=4),AprSunYear2+31,""),IF(AND(YEAR(AprSunYear2+38)=CalendarYear+1,MONTH(AprSunYear2+38)=4),AprSunYear2+38,""))</f>
        <v/>
      </c>
      <c r="AH35" s="30" t="str">
        <f>IF(DAY(AprSunYear2)=1,IF(AND(YEAR(AprSunYear2+32)=CalendarYear+1,MONTH(AprSunYear2+32)=4),AprSunYear2+32,""),IF(AND(YEAR(AprSunYear2+39)=CalendarYear+1,MONTH(AprSunYear2+39)=4),AprSunYear2+39,""))</f>
        <v/>
      </c>
      <c r="AI35" s="30" t="str">
        <f>IF(DAY(AprSunYear2)=1,IF(AND(YEAR(AprSunYear2+33)=CalendarYear+1,MONTH(AprSunYear2+33)=4),AprSunYear2+33,""),IF(AND(YEAR(AprSunYear2+40)=CalendarYear+1,MONTH(AprSunYear2+40)=4),AprSunYear2+40,""))</f>
        <v/>
      </c>
      <c r="AJ35" s="30" t="str">
        <f>IF(DAY(AprSunYear2)=1,IF(AND(YEAR(AprSunYear2+34)=CalendarYear+1,MONTH(AprSunYear2+34)=4),AprSunYear2+34,""),IF(AND(YEAR(AprSunYear2+41)=CalendarYear+1,MONTH(AprSunYear2+41)=4),AprSunYear2+41,""))</f>
        <v/>
      </c>
      <c r="AK35" s="30" t="str">
        <f>IF(DAY(AprSunYear2)=1,IF(AND(YEAR(AprSunYear2+35)=CalendarYear+1,MONTH(AprSunYear2+35)=4),AprSunYear2+35,""),IF(AND(YEAR(AprSunYear2+42)=CalendarYear+1,MONTH(AprSunYear2+42)=4),AprSunYear2+42,""))</f>
        <v/>
      </c>
      <c r="AL35" s="4"/>
      <c r="AM35" s="30" t="str">
        <f>IF(DAY(MaySunYear2)=1,IF(AND(YEAR(MaySunYear2+29)=CalendarYear+1,MONTH(MaySunYear2+29)=5),MaySunYear2+29,""),IF(AND(YEAR(MaySunYear2+36)=CalendarYear+1,MONTH(MaySunYear2+36)=5),MaySunYear2+36,""))</f>
        <v/>
      </c>
      <c r="AN35" s="30" t="str">
        <f>IF(DAY(MaySunYear2)=1,IF(AND(YEAR(MaySunYear2+30)=CalendarYear+1,MONTH(MaySunYear2+30)=5),MaySunYear2+30,""),IF(AND(YEAR(MaySunYear2+37)=CalendarYear+1,MONTH(MaySunYear2+37)=5),MaySunYear2+37,""))</f>
        <v/>
      </c>
      <c r="AO35" s="30" t="str">
        <f>IF(DAY(MaySunYear2)=1,IF(AND(YEAR(MaySunYear2+31)=CalendarYear+1,MONTH(MaySunYear2+31)=5),MaySunYear2+31,""),IF(AND(YEAR(MaySunYear2+38)=CalendarYear+1,MONTH(MaySunYear2+38)=5),MaySunYear2+38,""))</f>
        <v/>
      </c>
      <c r="AP35" s="30" t="str">
        <f>IF(DAY(MaySunYear2)=1,IF(AND(YEAR(MaySunYear2+32)=CalendarYear+1,MONTH(MaySunYear2+32)=5),MaySunYear2+32,""),IF(AND(YEAR(MaySunYear2+39)=CalendarYear+1,MONTH(MaySunYear2+39)=5),MaySunYear2+39,""))</f>
        <v/>
      </c>
      <c r="AQ35" s="30" t="str">
        <f>IF(DAY(MaySunYear2)=1,IF(AND(YEAR(MaySunYear2+33)=CalendarYear+1,MONTH(MaySunYear2+33)=5),MaySunYear2+33,""),IF(AND(YEAR(MaySunYear2+40)=CalendarYear+1,MONTH(MaySunYear2+40)=5),MaySunYear2+40,""))</f>
        <v/>
      </c>
      <c r="AR35" s="30" t="str">
        <f>IF(DAY(MaySunYear2)=1,IF(AND(YEAR(MaySunYear2+34)=CalendarYear+1,MONTH(MaySunYear2+34)=5),MaySunYear2+34,""),IF(AND(YEAR(MaySunYear2+41)=CalendarYear+1,MONTH(MaySunYear2+41)=5),MaySunYear2+41,""))</f>
        <v/>
      </c>
      <c r="AS35" s="30" t="str">
        <f>IF(DAY(MaySunYear2)=1,IF(AND(YEAR(MaySunYear2+35)=CalendarYear+1,MONTH(MaySunYear2+35)=5),MaySunYear2+35,""),IF(AND(YEAR(MaySunYear2+42)=CalendarYear+1,MONTH(MaySunYear2+42)=5),MaySunYear2+42,""))</f>
        <v/>
      </c>
      <c r="AT35" s="20"/>
      <c r="AU35" s="30" t="str">
        <f>IF(DAY(JunSunYear2)=1,IF(AND(YEAR(JunSunYear2+29)=CalendarYear+1,MONTH(JunSunYear2+29)=6),JunSunYear2+29,""),IF(AND(YEAR(JunSunYear2+36)=CalendarYear+1,MONTH(JunSunYear2+36)=6),JunSunYear2+36,""))</f>
        <v/>
      </c>
      <c r="AV35" s="30" t="str">
        <f>IF(DAY(JunSunYear2)=1,IF(AND(YEAR(JunSunYear2+30)=CalendarYear+1,MONTH(JunSunYear2+30)=6),JunSunYear2+30,""),IF(AND(YEAR(JunSunYear2+37)=CalendarYear+1,MONTH(JunSunYear2+37)=6),JunSunYear2+37,""))</f>
        <v/>
      </c>
      <c r="AW35" s="30" t="str">
        <f>IF(DAY(JunSunYear2)=1,IF(AND(YEAR(JunSunYear2+31)=CalendarYear+1,MONTH(JunSunYear2+31)=6),JunSunYear2+31,""),IF(AND(YEAR(JunSunYear2+38)=CalendarYear+1,MONTH(JunSunYear2+38)=6),JunSunYear2+38,""))</f>
        <v/>
      </c>
      <c r="AX35" s="30" t="str">
        <f>IF(DAY(JunSunYear2)=1,IF(AND(YEAR(JunSunYear2+32)=CalendarYear+1,MONTH(JunSunYear2+32)=6),JunSunYear2+32,""),IF(AND(YEAR(JunSunYear2+39)=CalendarYear+1,MONTH(JunSunYear2+39)=6),JunSunYear2+39,""))</f>
        <v/>
      </c>
      <c r="AY35" s="30" t="str">
        <f>IF(DAY(JunSunYear2)=1,IF(AND(YEAR(JunSunYear2+33)=CalendarYear+1,MONTH(JunSunYear2+33)=6),JunSunYear2+33,""),IF(AND(YEAR(JunSunYear2+40)=CalendarYear+1,MONTH(JunSunYear2+40)=6),JunSunYear2+40,""))</f>
        <v/>
      </c>
      <c r="AZ35" s="30" t="str">
        <f>IF(DAY(JunSunYear2)=1,IF(AND(YEAR(JunSunYear2+34)=CalendarYear+1,MONTH(JunSunYear2+34)=6),JunSunYear2+34,""),IF(AND(YEAR(JunSunYear2+41)=CalendarYear+1,MONTH(JunSunYear2+41)=6),JunSunYear2+41,""))</f>
        <v/>
      </c>
      <c r="BA35" s="34" t="str">
        <f>IF(DAY(JunSunYear2)=1,IF(AND(YEAR(JunSunYear2+35)=CalendarYear+1,MONTH(JunSunYear2+35)=6),JunSunYear2+35,""),IF(AND(YEAR(JunSunYear2+42)=CalendarYear+1,MONTH(JunSunYear2+42)=6),JunSunYear2+42,""))</f>
        <v/>
      </c>
    </row>
    <row r="36" spans="3:53" ht="15.75" x14ac:dyDescent="0.25">
      <c r="C36" s="43"/>
      <c r="G36" s="23"/>
      <c r="H36" s="20"/>
      <c r="I36" s="20"/>
      <c r="J36" s="20"/>
      <c r="K36" s="20"/>
      <c r="L36" s="20"/>
      <c r="M36" s="20"/>
      <c r="N36" s="5"/>
      <c r="O36" s="20"/>
      <c r="P36" s="20"/>
      <c r="Q36" s="20"/>
      <c r="R36" s="20"/>
      <c r="S36" s="20"/>
      <c r="T36" s="20"/>
      <c r="U36" s="20"/>
      <c r="V36" s="4"/>
      <c r="W36" s="20"/>
      <c r="X36" s="20"/>
      <c r="Y36" s="20"/>
      <c r="Z36" s="20"/>
      <c r="AA36" s="20"/>
      <c r="AB36" s="20"/>
      <c r="AC36" s="20"/>
      <c r="AD36" s="6"/>
      <c r="AE36" s="20"/>
      <c r="AF36" s="20"/>
      <c r="AG36" s="20"/>
      <c r="AH36" s="20"/>
      <c r="AI36" s="20"/>
      <c r="AJ36" s="20"/>
      <c r="AK36" s="20"/>
      <c r="AL36" s="4"/>
      <c r="AM36" s="4"/>
      <c r="AN36" s="4"/>
      <c r="AO36" s="4"/>
      <c r="AP36" s="4"/>
      <c r="AQ36" s="4"/>
      <c r="AR36" s="4"/>
      <c r="AS36" s="4"/>
      <c r="AT36" s="20"/>
      <c r="AU36" s="4"/>
      <c r="AV36" s="4"/>
      <c r="AW36" s="4"/>
      <c r="AX36" s="4"/>
      <c r="AY36" s="4"/>
      <c r="AZ36" s="4"/>
      <c r="BA36" s="24"/>
    </row>
    <row r="37" spans="3:53" ht="16.5" thickBot="1" x14ac:dyDescent="0.3">
      <c r="G37" s="99">
        <f>DATE(CalendarYear,7,1)</f>
        <v>44743</v>
      </c>
      <c r="H37" s="100"/>
      <c r="I37" s="100"/>
      <c r="J37" s="100"/>
      <c r="K37" s="100"/>
      <c r="L37" s="100"/>
      <c r="M37" s="100"/>
      <c r="N37" s="39"/>
      <c r="O37" s="100">
        <f>DATE(CalendarYear,8,1)</f>
        <v>44774</v>
      </c>
      <c r="P37" s="100"/>
      <c r="Q37" s="100"/>
      <c r="R37" s="100"/>
      <c r="S37" s="100"/>
      <c r="T37" s="100"/>
      <c r="U37" s="100"/>
      <c r="V37" s="11"/>
      <c r="W37" s="100">
        <f>DATE(CalendarYear,9,1)</f>
        <v>44805</v>
      </c>
      <c r="X37" s="100"/>
      <c r="Y37" s="100"/>
      <c r="Z37" s="100"/>
      <c r="AA37" s="100"/>
      <c r="AB37" s="100"/>
      <c r="AC37" s="100"/>
      <c r="AD37" s="40"/>
      <c r="AE37" s="100">
        <f>DATE(CalendarYear,10,1)</f>
        <v>44835</v>
      </c>
      <c r="AF37" s="100"/>
      <c r="AG37" s="100"/>
      <c r="AH37" s="100"/>
      <c r="AI37" s="100"/>
      <c r="AJ37" s="100"/>
      <c r="AK37" s="100"/>
      <c r="AL37" s="11"/>
      <c r="AM37" s="100">
        <f>DATE(CalendarYear,11,1)</f>
        <v>44866</v>
      </c>
      <c r="AN37" s="100"/>
      <c r="AO37" s="100"/>
      <c r="AP37" s="100"/>
      <c r="AQ37" s="100"/>
      <c r="AR37" s="100"/>
      <c r="AS37" s="100"/>
      <c r="AT37" s="12"/>
      <c r="AU37" s="100">
        <f>DATE(CalendarYear,12,1)</f>
        <v>44896</v>
      </c>
      <c r="AV37" s="100"/>
      <c r="AW37" s="100"/>
      <c r="AX37" s="100"/>
      <c r="AY37" s="100"/>
      <c r="AZ37" s="100"/>
      <c r="BA37" s="101"/>
    </row>
    <row r="38" spans="3:53" ht="15.75" thickTop="1" x14ac:dyDescent="0.25">
      <c r="G38" s="32" t="s">
        <v>43</v>
      </c>
      <c r="H38" s="33" t="s">
        <v>44</v>
      </c>
      <c r="I38" s="33" t="s">
        <v>45</v>
      </c>
      <c r="J38" s="33" t="s">
        <v>46</v>
      </c>
      <c r="K38" s="33" t="s">
        <v>45</v>
      </c>
      <c r="L38" s="33" t="s">
        <v>47</v>
      </c>
      <c r="M38" s="33" t="s">
        <v>43</v>
      </c>
      <c r="N38" s="20"/>
      <c r="O38" s="33" t="s">
        <v>43</v>
      </c>
      <c r="P38" s="33" t="s">
        <v>44</v>
      </c>
      <c r="Q38" s="33" t="s">
        <v>45</v>
      </c>
      <c r="R38" s="33" t="s">
        <v>46</v>
      </c>
      <c r="S38" s="33" t="s">
        <v>45</v>
      </c>
      <c r="T38" s="33" t="s">
        <v>47</v>
      </c>
      <c r="U38" s="33" t="s">
        <v>43</v>
      </c>
      <c r="V38" s="20"/>
      <c r="W38" s="33" t="s">
        <v>43</v>
      </c>
      <c r="X38" s="33" t="s">
        <v>44</v>
      </c>
      <c r="Y38" s="33" t="s">
        <v>45</v>
      </c>
      <c r="Z38" s="33" t="s">
        <v>46</v>
      </c>
      <c r="AA38" s="33" t="s">
        <v>45</v>
      </c>
      <c r="AB38" s="33" t="s">
        <v>47</v>
      </c>
      <c r="AC38" s="33" t="s">
        <v>43</v>
      </c>
      <c r="AD38" s="20"/>
      <c r="AE38" s="33" t="s">
        <v>43</v>
      </c>
      <c r="AF38" s="33" t="s">
        <v>44</v>
      </c>
      <c r="AG38" s="33" t="s">
        <v>45</v>
      </c>
      <c r="AH38" s="33" t="s">
        <v>46</v>
      </c>
      <c r="AI38" s="33" t="s">
        <v>45</v>
      </c>
      <c r="AJ38" s="33" t="s">
        <v>47</v>
      </c>
      <c r="AK38" s="33" t="s">
        <v>43</v>
      </c>
      <c r="AL38" s="20"/>
      <c r="AM38" s="33" t="s">
        <v>43</v>
      </c>
      <c r="AN38" s="33" t="s">
        <v>44</v>
      </c>
      <c r="AO38" s="33" t="s">
        <v>45</v>
      </c>
      <c r="AP38" s="33" t="s">
        <v>46</v>
      </c>
      <c r="AQ38" s="33" t="s">
        <v>45</v>
      </c>
      <c r="AR38" s="33" t="s">
        <v>47</v>
      </c>
      <c r="AS38" s="33" t="s">
        <v>43</v>
      </c>
      <c r="AT38" s="20"/>
      <c r="AU38" s="33" t="s">
        <v>43</v>
      </c>
      <c r="AV38" s="33" t="s">
        <v>44</v>
      </c>
      <c r="AW38" s="33" t="s">
        <v>45</v>
      </c>
      <c r="AX38" s="33" t="s">
        <v>46</v>
      </c>
      <c r="AY38" s="33" t="s">
        <v>45</v>
      </c>
      <c r="AZ38" s="33" t="s">
        <v>47</v>
      </c>
      <c r="BA38" s="35" t="s">
        <v>43</v>
      </c>
    </row>
    <row r="39" spans="3:53" x14ac:dyDescent="0.25">
      <c r="G39" s="31" t="str">
        <f>IF(DAY(JulSunYear2)=1,"",IF(AND(YEAR(JulSunYear2+1)=CalendarYear+1,MONTH(JulSunYear2+1)=7),JulSunYear2+1,""))</f>
        <v/>
      </c>
      <c r="H39" s="30" t="str">
        <f>IF(DAY(JulSunYear2)=1,"",IF(AND(YEAR(JulSunYear2+2)=CalendarYear+1,MONTH(JulSunYear2+2)=7),JulSunYear2+2,""))</f>
        <v/>
      </c>
      <c r="I39" s="30" t="str">
        <f>IF(DAY(JulSunYear2)=1,"",IF(AND(YEAR(JulSunYear2+3)=CalendarYear+1,MONTH(JulSunYear2+3)=7),JulSunYear2+3,""))</f>
        <v/>
      </c>
      <c r="J39" s="30" t="str">
        <f>IF(DAY(JulSunYear2)=1,"",IF(AND(YEAR(JulSunYear2+4)=CalendarYear+1,MONTH(JulSunYear2+4)=7),JulSunYear2+4,""))</f>
        <v/>
      </c>
      <c r="K39" s="30" t="str">
        <f>IF(DAY(JulSunYear2)=1,"",IF(AND(YEAR(JulSunYear2+5)=CalendarYear+1,MONTH(JulSunYear2+5)=7),JulSunYear2+5,""))</f>
        <v/>
      </c>
      <c r="L39" s="30" t="str">
        <f>IF(DAY(JulSunYear2)=1,"",IF(AND(YEAR(JulSunYear2+6)=CalendarYear+1,MONTH(JulSunYear2+6)=7),JulSunYear2+6,""))</f>
        <v/>
      </c>
      <c r="M39" s="30">
        <f>IF(DAY(JulSunYear2)=1,IF(AND(YEAR(JulSunYear2)=CalendarYear+1,MONTH(JulSunYear2)=7),JulSunYear2,""),IF(AND(YEAR(JulSunYear2+7)=CalendarYear+1,MONTH(JulSunYear2+7)=7),JulSunYear2+7,""))</f>
        <v>45108</v>
      </c>
      <c r="N39" s="8"/>
      <c r="O39" s="30" t="str">
        <f>IF(DAY(AugSunYear2)=1,"",IF(AND(YEAR(AugSunYear2+1)=CalendarYear+1,MONTH(AugSunYear2+1)=8),AugSunYear2+1,""))</f>
        <v/>
      </c>
      <c r="P39" s="30" t="str">
        <f>IF(DAY(AugSunYear2)=1,"",IF(AND(YEAR(AugSunYear2+2)=CalendarYear+1,MONTH(AugSunYear2+2)=8),AugSunYear2+2,""))</f>
        <v/>
      </c>
      <c r="Q39" s="30">
        <f>IF(DAY(AugSunYear2)=1,"",IF(AND(YEAR(AugSunYear2+3)=CalendarYear+1,MONTH(AugSunYear2+3)=8),AugSunYear2+3,""))</f>
        <v>45139</v>
      </c>
      <c r="R39" s="30">
        <f>IF(DAY(AugSunYear2)=1,"",IF(AND(YEAR(AugSunYear2+4)=CalendarYear+1,MONTH(AugSunYear2+4)=8),AugSunYear2+4,""))</f>
        <v>45140</v>
      </c>
      <c r="S39" s="30">
        <f>IF(DAY(AugSunYear2)=1,"",IF(AND(YEAR(AugSunYear2+5)=CalendarYear+1,MONTH(AugSunYear2+5)=8),AugSunYear2+5,""))</f>
        <v>45141</v>
      </c>
      <c r="T39" s="30">
        <f>IF(DAY(AugSunYear2)=1,"",IF(AND(YEAR(AugSunYear2+6)=CalendarYear+1,MONTH(AugSunYear2+6)=8),AugSunYear2+6,""))</f>
        <v>45142</v>
      </c>
      <c r="U39" s="30">
        <f>IF(DAY(AugSunYear2)=1,IF(AND(YEAR(AugSunYear2)=CalendarYear+1,MONTH(AugSunYear2)=8),AugSunYear2,""),IF(AND(YEAR(AugSunYear2+7)=CalendarYear+1,MONTH(AugSunYear2+7)=8),AugSunYear2+7,""))</f>
        <v>45143</v>
      </c>
      <c r="V39" s="4"/>
      <c r="W39" s="30" t="str">
        <f>IF(DAY(SepSunYear2)=1,"",IF(AND(YEAR(SepSunYear2+1)=CalendarYear+1,MONTH(SepSunYear2+1)=9),SepSunYear2+1,""))</f>
        <v/>
      </c>
      <c r="X39" s="30" t="str">
        <f>IF(DAY(SepSunYear2)=1,"",IF(AND(YEAR(SepSunYear2+2)=CalendarYear+1,MONTH(SepSunYear2+2)=9),SepSunYear2+2,""))</f>
        <v/>
      </c>
      <c r="Y39" s="30" t="str">
        <f>IF(DAY(SepSunYear2)=1,"",IF(AND(YEAR(SepSunYear2+3)=CalendarYear+1,MONTH(SepSunYear2+3)=9),SepSunYear2+3,""))</f>
        <v/>
      </c>
      <c r="Z39" s="30" t="str">
        <f>IF(DAY(SepSunYear2)=1,"",IF(AND(YEAR(SepSunYear2+4)=CalendarYear+1,MONTH(SepSunYear2+4)=9),SepSunYear2+4,""))</f>
        <v/>
      </c>
      <c r="AA39" s="30" t="str">
        <f>IF(DAY(SepSunYear2)=1,"",IF(AND(YEAR(SepSunYear2+5)=CalendarYear+1,MONTH(SepSunYear2+5)=9),SepSunYear2+5,""))</f>
        <v/>
      </c>
      <c r="AB39" s="30">
        <f>IF(DAY(SepSunYear2)=1,"",IF(AND(YEAR(SepSunYear2+6)=CalendarYear+1,MONTH(SepSunYear2+6)=9),SepSunYear2+6,""))</f>
        <v>45170</v>
      </c>
      <c r="AC39" s="30">
        <f>IF(DAY(SepSunYear2)=1,IF(AND(YEAR(SepSunYear2)=CalendarYear+1,MONTH(SepSunYear2)=9),SepSunYear2,""),IF(AND(YEAR(SepSunYear2+7)=CalendarYear+1,MONTH(SepSunYear2+7)=9),SepSunYear2+7,""))</f>
        <v>45171</v>
      </c>
      <c r="AD39" s="7"/>
      <c r="AE39" s="30">
        <f>IF(DAY(OctSunYear2)=1,"",IF(AND(YEAR(OctSunYear2+1)=CalendarYear+1,MONTH(OctSunYear2+1)=10),OctSunYear2+1,""))</f>
        <v>45200</v>
      </c>
      <c r="AF39" s="30">
        <f>IF(DAY(OctSunYear2)=1,"",IF(AND(YEAR(OctSunYear2+2)=CalendarYear+1,MONTH(OctSunYear2+2)=10),OctSunYear2+2,""))</f>
        <v>45201</v>
      </c>
      <c r="AG39" s="30">
        <f>IF(DAY(OctSunYear2)=1,"",IF(AND(YEAR(OctSunYear2+3)=CalendarYear+1,MONTH(OctSunYear2+3)=10),OctSunYear2+3,""))</f>
        <v>45202</v>
      </c>
      <c r="AH39" s="30">
        <f>IF(DAY(OctSunYear2)=1,"",IF(AND(YEAR(OctSunYear2+4)=CalendarYear+1,MONTH(OctSunYear2+4)=10),OctSunYear2+4,""))</f>
        <v>45203</v>
      </c>
      <c r="AI39" s="30">
        <f>IF(DAY(OctSunYear2)=1,"",IF(AND(YEAR(OctSunYear2+5)=CalendarYear+1,MONTH(OctSunYear2+5)=10),OctSunYear2+5,""))</f>
        <v>45204</v>
      </c>
      <c r="AJ39" s="30">
        <f>IF(DAY(OctSunYear2)=1,"",IF(AND(YEAR(OctSunYear2+6)=CalendarYear+1,MONTH(OctSunYear2+6)=10),OctSunYear2+6,""))</f>
        <v>45205</v>
      </c>
      <c r="AK39" s="30">
        <f>IF(DAY(OctSunYear2)=1,IF(AND(YEAR(OctSunYear2)=CalendarYear+1,MONTH(OctSunYear2)=10),OctSunYear2,""),IF(AND(YEAR(OctSunYear2+7)=CalendarYear+1,MONTH(OctSunYear2+7)=10),OctSunYear2+7,""))</f>
        <v>45206</v>
      </c>
      <c r="AL39" s="4"/>
      <c r="AM39" s="30" t="str">
        <f>IF(DAY(NovSunYear2)=1,"",IF(AND(YEAR(NovSunYear2+1)=CalendarYear+1,MONTH(NovSunYear2+1)=11),NovSunYear2+1,""))</f>
        <v/>
      </c>
      <c r="AN39" s="30" t="str">
        <f>IF(DAY(NovSunYear2)=1,"",IF(AND(YEAR(NovSunYear2+2)=CalendarYear+1,MONTH(NovSunYear2+2)=11),NovSunYear2+2,""))</f>
        <v/>
      </c>
      <c r="AO39" s="30" t="str">
        <f>IF(DAY(NovSunYear2)=1,"",IF(AND(YEAR(NovSunYear2+3)=CalendarYear+1,MONTH(NovSunYear2+3)=11),NovSunYear2+3,""))</f>
        <v/>
      </c>
      <c r="AP39" s="30">
        <f>IF(DAY(NovSunYear2)=1,"",IF(AND(YEAR(NovSunYear2+4)=CalendarYear+1,MONTH(NovSunYear2+4)=11),NovSunYear2+4,""))</f>
        <v>45231</v>
      </c>
      <c r="AQ39" s="30">
        <f>IF(DAY(NovSunYear2)=1,"",IF(AND(YEAR(NovSunYear2+5)=CalendarYear+1,MONTH(NovSunYear2+5)=11),NovSunYear2+5,""))</f>
        <v>45232</v>
      </c>
      <c r="AR39" s="30">
        <f>IF(DAY(NovSunYear2)=1,"",IF(AND(YEAR(NovSunYear2+6)=CalendarYear+1,MONTH(NovSunYear2+6)=11),NovSunYear2+6,""))</f>
        <v>45233</v>
      </c>
      <c r="AS39" s="30">
        <f>IF(DAY(NovSunYear2)=1,IF(AND(YEAR(NovSunYear2)=CalendarYear+1,MONTH(NovSunYear2)=11),NovSunYear2,""),IF(AND(YEAR(NovSunYear2+7)=CalendarYear+1,MONTH(NovSunYear2+7)=11),NovSunYear2+7,""))</f>
        <v>45234</v>
      </c>
      <c r="AT39" s="20"/>
      <c r="AU39" s="30" t="str">
        <f>IF(DAY(DecSunYear2)=1,"",IF(AND(YEAR(DecSunYear2+1)=CalendarYear+1,MONTH(DecSunYear2+1)=12),DecSunYear2+1,""))</f>
        <v/>
      </c>
      <c r="AV39" s="30" t="str">
        <f>IF(DAY(DecSunYear2)=1,"",IF(AND(YEAR(DecSunYear2+2)=CalendarYear+1,MONTH(DecSunYear2+2)=12),DecSunYear2+2,""))</f>
        <v/>
      </c>
      <c r="AW39" s="30" t="str">
        <f>IF(DAY(DecSunYear2)=1,"",IF(AND(YEAR(DecSunYear2+3)=CalendarYear+1,MONTH(DecSunYear2+3)=12),DecSunYear2+3,""))</f>
        <v/>
      </c>
      <c r="AX39" s="30" t="str">
        <f>IF(DAY(DecSunYear2)=1,"",IF(AND(YEAR(DecSunYear2+4)=CalendarYear+1,MONTH(DecSunYear2+4)=12),DecSunYear2+4,""))</f>
        <v/>
      </c>
      <c r="AY39" s="30" t="str">
        <f>IF(DAY(DecSunYear2)=1,"",IF(AND(YEAR(DecSunYear2+5)=CalendarYear+1,MONTH(DecSunYear2+5)=12),DecSunYear2+5,""))</f>
        <v/>
      </c>
      <c r="AZ39" s="30">
        <f>IF(DAY(DecSunYear2)=1,"",IF(AND(YEAR(DecSunYear2+6)=CalendarYear+1,MONTH(DecSunYear2+6)=12),DecSunYear2+6,""))</f>
        <v>45261</v>
      </c>
      <c r="BA39" s="34">
        <f>IF(DAY(DecSunYear2)=1,IF(AND(YEAR(DecSunYear2)=CalendarYear+1,MONTH(DecSunYear2)=12),DecSunYear2,""),IF(AND(YEAR(DecSunYear2+7)=CalendarYear+1,MONTH(DecSunYear2+7)=12),DecSunYear2+7,""))</f>
        <v>45262</v>
      </c>
    </row>
    <row r="40" spans="3:53" x14ac:dyDescent="0.25">
      <c r="G40" s="31">
        <f>IF(DAY(JulSunYear2)=1,IF(AND(YEAR(JulSunYear2+1)=CalendarYear+1,MONTH(JulSunYear2+1)=7),JulSunYear2+1,""),IF(AND(YEAR(JulSunYear2+8)=CalendarYear+1,MONTH(JulSunYear2+8)=7),JulSunYear2+8,""))</f>
        <v>45109</v>
      </c>
      <c r="H40" s="30">
        <f>IF(DAY(JulSunYear2)=1,IF(AND(YEAR(JulSunYear2+2)=CalendarYear+1,MONTH(JulSunYear2+2)=7),JulSunYear2+2,""),IF(AND(YEAR(JulSunYear2+9)=CalendarYear+1,MONTH(JulSunYear2+9)=7),JulSunYear2+9,""))</f>
        <v>45110</v>
      </c>
      <c r="I40" s="30">
        <f>IF(DAY(JulSunYear2)=1,IF(AND(YEAR(JulSunYear2+3)=CalendarYear+1,MONTH(JulSunYear2+3)=7),JulSunYear2+3,""),IF(AND(YEAR(JulSunYear2+10)=CalendarYear+1,MONTH(JulSunYear2+10)=7),JulSunYear2+10,""))</f>
        <v>45111</v>
      </c>
      <c r="J40" s="30">
        <f>IF(DAY(JulSunYear2)=1,IF(AND(YEAR(JulSunYear2+4)=CalendarYear+1,MONTH(JulSunYear2+4)=7),JulSunYear2+4,""),IF(AND(YEAR(JulSunYear2+11)=CalendarYear+1,MONTH(JulSunYear2+11)=7),JulSunYear2+11,""))</f>
        <v>45112</v>
      </c>
      <c r="K40" s="30">
        <f>IF(DAY(JulSunYear2)=1,IF(AND(YEAR(JulSunYear2+5)=CalendarYear+1,MONTH(JulSunYear2+5)=7),JulSunYear2+5,""),IF(AND(YEAR(JulSunYear2+12)=CalendarYear+1,MONTH(JulSunYear2+12)=7),JulSunYear2+12,""))</f>
        <v>45113</v>
      </c>
      <c r="L40" s="30">
        <f>IF(DAY(JulSunYear2)=1,IF(AND(YEAR(JulSunYear2+6)=CalendarYear+1,MONTH(JulSunYear2+6)=7),JulSunYear2+6,""),IF(AND(YEAR(JulSunYear2+13)=CalendarYear+1,MONTH(JulSunYear2+13)=7),JulSunYear2+13,""))</f>
        <v>45114</v>
      </c>
      <c r="M40" s="30">
        <f>IF(DAY(JulSunYear2)=1,IF(AND(YEAR(JulSunYear2+7)=CalendarYear+1,MONTH(JulSunYear2+7)=7),JulSunYear2+7,""),IF(AND(YEAR(JulSunYear2+14)=CalendarYear+1,MONTH(JulSunYear2+14)=7),JulSunYear2+14,""))</f>
        <v>45115</v>
      </c>
      <c r="N40" s="8"/>
      <c r="O40" s="30">
        <f>IF(DAY(AugSunYear2)=1,IF(AND(YEAR(AugSunYear2+1)=CalendarYear+1,MONTH(AugSunYear2+1)=8),AugSunYear2+1,""),IF(AND(YEAR(AugSunYear2+8)=CalendarYear+1,MONTH(AugSunYear2+8)=8),AugSunYear2+8,""))</f>
        <v>45144</v>
      </c>
      <c r="P40" s="30">
        <f>IF(DAY(AugSunYear2)=1,IF(AND(YEAR(AugSunYear2+2)=CalendarYear+1,MONTH(AugSunYear2+2)=8),AugSunYear2+2,""),IF(AND(YEAR(AugSunYear2+9)=CalendarYear+1,MONTH(AugSunYear2+9)=8),AugSunYear2+9,""))</f>
        <v>45145</v>
      </c>
      <c r="Q40" s="30">
        <f>IF(DAY(AugSunYear2)=1,IF(AND(YEAR(AugSunYear2+3)=CalendarYear+1,MONTH(AugSunYear2+3)=8),AugSunYear2+3,""),IF(AND(YEAR(AugSunYear2+10)=CalendarYear+1,MONTH(AugSunYear2+10)=8),AugSunYear2+10,""))</f>
        <v>45146</v>
      </c>
      <c r="R40" s="30">
        <f>IF(DAY(AugSunYear2)=1,IF(AND(YEAR(AugSunYear2+4)=CalendarYear+1,MONTH(AugSunYear2+4)=8),AugSunYear2+4,""),IF(AND(YEAR(AugSunYear2+11)=CalendarYear+1,MONTH(AugSunYear2+11)=8),AugSunYear2+11,""))</f>
        <v>45147</v>
      </c>
      <c r="S40" s="30">
        <f>IF(DAY(AugSunYear2)=1,IF(AND(YEAR(AugSunYear2+5)=CalendarYear+1,MONTH(AugSunYear2+5)=8),AugSunYear2+5,""),IF(AND(YEAR(AugSunYear2+12)=CalendarYear+1,MONTH(AugSunYear2+12)=8),AugSunYear2+12,""))</f>
        <v>45148</v>
      </c>
      <c r="T40" s="30">
        <f>IF(DAY(AugSunYear2)=1,IF(AND(YEAR(AugSunYear2+6)=CalendarYear+1,MONTH(AugSunYear2+6)=8),AugSunYear2+6,""),IF(AND(YEAR(AugSunYear2+13)=CalendarYear+1,MONTH(AugSunYear2+13)=8),AugSunYear2+13,""))</f>
        <v>45149</v>
      </c>
      <c r="U40" s="30">
        <f>IF(DAY(AugSunYear2)=1,IF(AND(YEAR(AugSunYear2+7)=CalendarYear+1,MONTH(AugSunYear2+7)=8),AugSunYear2+7,""),IF(AND(YEAR(AugSunYear2+14)=CalendarYear+1,MONTH(AugSunYear2+14)=8),AugSunYear2+14,""))</f>
        <v>45150</v>
      </c>
      <c r="V40" s="4"/>
      <c r="W40" s="30">
        <f>IF(DAY(SepSunYear2)=1,IF(AND(YEAR(SepSunYear2+1)=CalendarYear+1,MONTH(SepSunYear2+1)=9),SepSunYear2+1,""),IF(AND(YEAR(SepSunYear2+8)=CalendarYear+1,MONTH(SepSunYear2+8)=9),SepSunYear2+8,""))</f>
        <v>45172</v>
      </c>
      <c r="X40" s="30">
        <f>IF(DAY(SepSunYear2)=1,IF(AND(YEAR(SepSunYear2+2)=CalendarYear+1,MONTH(SepSunYear2+2)=9),SepSunYear2+2,""),IF(AND(YEAR(SepSunYear2+9)=CalendarYear+1,MONTH(SepSunYear2+9)=9),SepSunYear2+9,""))</f>
        <v>45173</v>
      </c>
      <c r="Y40" s="30">
        <f>IF(DAY(SepSunYear2)=1,IF(AND(YEAR(SepSunYear2+3)=CalendarYear+1,MONTH(SepSunYear2+3)=9),SepSunYear2+3,""),IF(AND(YEAR(SepSunYear2+10)=CalendarYear+1,MONTH(SepSunYear2+10)=9),SepSunYear2+10,""))</f>
        <v>45174</v>
      </c>
      <c r="Z40" s="30">
        <f>IF(DAY(SepSunYear2)=1,IF(AND(YEAR(SepSunYear2+4)=CalendarYear+1,MONTH(SepSunYear2+4)=9),SepSunYear2+4,""),IF(AND(YEAR(SepSunYear2+11)=CalendarYear+1,MONTH(SepSunYear2+11)=9),SepSunYear2+11,""))</f>
        <v>45175</v>
      </c>
      <c r="AA40" s="30">
        <f>IF(DAY(SepSunYear2)=1,IF(AND(YEAR(SepSunYear2+5)=CalendarYear+1,MONTH(SepSunYear2+5)=9),SepSunYear2+5,""),IF(AND(YEAR(SepSunYear2+12)=CalendarYear+1,MONTH(SepSunYear2+12)=9),SepSunYear2+12,""))</f>
        <v>45176</v>
      </c>
      <c r="AB40" s="30">
        <f>IF(DAY(SepSunYear2)=1,IF(AND(YEAR(SepSunYear2+6)=CalendarYear+1,MONTH(SepSunYear2+6)=9),SepSunYear2+6,""),IF(AND(YEAR(SepSunYear2+13)=CalendarYear+1,MONTH(SepSunYear2+13)=9),SepSunYear2+13,""))</f>
        <v>45177</v>
      </c>
      <c r="AC40" s="30">
        <f>IF(DAY(SepSunYear2)=1,IF(AND(YEAR(SepSunYear2+7)=CalendarYear+1,MONTH(SepSunYear2+7)=9),SepSunYear2+7,""),IF(AND(YEAR(SepSunYear2+14)=CalendarYear+1,MONTH(SepSunYear2+14)=9),SepSunYear2+14,""))</f>
        <v>45178</v>
      </c>
      <c r="AD40" s="8"/>
      <c r="AE40" s="30">
        <f>IF(DAY(OctSunYear2)=1,IF(AND(YEAR(OctSunYear2+1)=CalendarYear+1,MONTH(OctSunYear2+1)=10),OctSunYear2+1,""),IF(AND(YEAR(OctSunYear2+8)=CalendarYear+1,MONTH(OctSunYear2+8)=10),OctSunYear2+8,""))</f>
        <v>45207</v>
      </c>
      <c r="AF40" s="30">
        <f>IF(DAY(OctSunYear2)=1,IF(AND(YEAR(OctSunYear2+2)=CalendarYear+1,MONTH(OctSunYear2+2)=10),OctSunYear2+2,""),IF(AND(YEAR(OctSunYear2+9)=CalendarYear+1,MONTH(OctSunYear2+9)=10),OctSunYear2+9,""))</f>
        <v>45208</v>
      </c>
      <c r="AG40" s="30">
        <f>IF(DAY(OctSunYear2)=1,IF(AND(YEAR(OctSunYear2+3)=CalendarYear+1,MONTH(OctSunYear2+3)=10),OctSunYear2+3,""),IF(AND(YEAR(OctSunYear2+10)=CalendarYear+1,MONTH(OctSunYear2+10)=10),OctSunYear2+10,""))</f>
        <v>45209</v>
      </c>
      <c r="AH40" s="30">
        <f>IF(DAY(OctSunYear2)=1,IF(AND(YEAR(OctSunYear2+4)=CalendarYear+1,MONTH(OctSunYear2+4)=10),OctSunYear2+4,""),IF(AND(YEAR(OctSunYear2+11)=CalendarYear+1,MONTH(OctSunYear2+11)=10),OctSunYear2+11,""))</f>
        <v>45210</v>
      </c>
      <c r="AI40" s="30">
        <f>IF(DAY(OctSunYear2)=1,IF(AND(YEAR(OctSunYear2+5)=CalendarYear+1,MONTH(OctSunYear2+5)=10),OctSunYear2+5,""),IF(AND(YEAR(OctSunYear2+12)=CalendarYear+1,MONTH(OctSunYear2+12)=10),OctSunYear2+12,""))</f>
        <v>45211</v>
      </c>
      <c r="AJ40" s="30">
        <f>IF(DAY(OctSunYear2)=1,IF(AND(YEAR(OctSunYear2+6)=CalendarYear+1,MONTH(OctSunYear2+6)=10),OctSunYear2+6,""),IF(AND(YEAR(OctSunYear2+13)=CalendarYear+1,MONTH(OctSunYear2+13)=10),OctSunYear2+13,""))</f>
        <v>45212</v>
      </c>
      <c r="AK40" s="30">
        <f>IF(DAY(OctSunYear2)=1,IF(AND(YEAR(OctSunYear2+7)=CalendarYear+1,MONTH(OctSunYear2+7)=10),OctSunYear2+7,""),IF(AND(YEAR(OctSunYear2+14)=CalendarYear+1,MONTH(OctSunYear2+14)=10),OctSunYear2+14,""))</f>
        <v>45213</v>
      </c>
      <c r="AL40" s="4"/>
      <c r="AM40" s="30">
        <f>IF(DAY(NovSunYear2)=1,IF(AND(YEAR(NovSunYear2+1)=CalendarYear+1,MONTH(NovSunYear2+1)=11),NovSunYear2+1,""),IF(AND(YEAR(NovSunYear2+8)=CalendarYear+1,MONTH(NovSunYear2+8)=11),NovSunYear2+8,""))</f>
        <v>45235</v>
      </c>
      <c r="AN40" s="30">
        <f>IF(DAY(NovSunYear2)=1,IF(AND(YEAR(NovSunYear2+2)=CalendarYear+1,MONTH(NovSunYear2+2)=11),NovSunYear2+2,""),IF(AND(YEAR(NovSunYear2+9)=CalendarYear+1,MONTH(NovSunYear2+9)=11),NovSunYear2+9,""))</f>
        <v>45236</v>
      </c>
      <c r="AO40" s="30">
        <f>IF(DAY(NovSunYear2)=1,IF(AND(YEAR(NovSunYear2+3)=CalendarYear+1,MONTH(NovSunYear2+3)=11),NovSunYear2+3,""),IF(AND(YEAR(NovSunYear2+10)=CalendarYear+1,MONTH(NovSunYear2+10)=11),NovSunYear2+10,""))</f>
        <v>45237</v>
      </c>
      <c r="AP40" s="30">
        <f>IF(DAY(NovSunYear2)=1,IF(AND(YEAR(NovSunYear2+4)=CalendarYear+1,MONTH(NovSunYear2+4)=11),NovSunYear2+4,""),IF(AND(YEAR(NovSunYear2+11)=CalendarYear+1,MONTH(NovSunYear2+11)=11),NovSunYear2+11,""))</f>
        <v>45238</v>
      </c>
      <c r="AQ40" s="30">
        <f>IF(DAY(NovSunYear2)=1,IF(AND(YEAR(NovSunYear2+5)=CalendarYear+1,MONTH(NovSunYear2+5)=11),NovSunYear2+5,""),IF(AND(YEAR(NovSunYear2+12)=CalendarYear+1,MONTH(NovSunYear2+12)=11),NovSunYear2+12,""))</f>
        <v>45239</v>
      </c>
      <c r="AR40" s="30">
        <f>IF(DAY(NovSunYear2)=1,IF(AND(YEAR(NovSunYear2+6)=CalendarYear+1,MONTH(NovSunYear2+6)=11),NovSunYear2+6,""),IF(AND(YEAR(NovSunYear2+13)=CalendarYear+1,MONTH(NovSunYear2+13)=11),NovSunYear2+13,""))</f>
        <v>45240</v>
      </c>
      <c r="AS40" s="30">
        <f>IF(DAY(NovSunYear2)=1,IF(AND(YEAR(NovSunYear2+7)=CalendarYear+1,MONTH(NovSunYear2+7)=11),NovSunYear2+7,""),IF(AND(YEAR(NovSunYear2+14)=CalendarYear+1,MONTH(NovSunYear2+14)=11),NovSunYear2+14,""))</f>
        <v>45241</v>
      </c>
      <c r="AT40" s="20"/>
      <c r="AU40" s="30">
        <f>IF(DAY(DecSunYear2)=1,IF(AND(YEAR(DecSunYear2+1)=CalendarYear+1,MONTH(DecSunYear2+1)=12),DecSunYear2+1,""),IF(AND(YEAR(DecSunYear2+8)=CalendarYear+1,MONTH(DecSunYear2+8)=12),DecSunYear2+8,""))</f>
        <v>45263</v>
      </c>
      <c r="AV40" s="30">
        <f>IF(DAY(DecSunYear2)=1,IF(AND(YEAR(DecSunYear2+2)=CalendarYear+1,MONTH(DecSunYear2+2)=12),DecSunYear2+2,""),IF(AND(YEAR(DecSunYear2+9)=CalendarYear+1,MONTH(DecSunYear2+9)=12),DecSunYear2+9,""))</f>
        <v>45264</v>
      </c>
      <c r="AW40" s="30">
        <f>IF(DAY(DecSunYear2)=1,IF(AND(YEAR(DecSunYear2+3)=CalendarYear+1,MONTH(DecSunYear2+3)=12),DecSunYear2+3,""),IF(AND(YEAR(DecSunYear2+10)=CalendarYear+1,MONTH(DecSunYear2+10)=12),DecSunYear2+10,""))</f>
        <v>45265</v>
      </c>
      <c r="AX40" s="30">
        <f>IF(DAY(DecSunYear2)=1,IF(AND(YEAR(DecSunYear2+4)=CalendarYear+1,MONTH(DecSunYear2+4)=12),DecSunYear2+4,""),IF(AND(YEAR(DecSunYear2+11)=CalendarYear+1,MONTH(DecSunYear2+11)=12),DecSunYear2+11,""))</f>
        <v>45266</v>
      </c>
      <c r="AY40" s="30">
        <f>IF(DAY(DecSunYear2)=1,IF(AND(YEAR(DecSunYear2+5)=CalendarYear+1,MONTH(DecSunYear2+5)=12),DecSunYear2+5,""),IF(AND(YEAR(DecSunYear2+12)=CalendarYear+1,MONTH(DecSunYear2+12)=12),DecSunYear2+12,""))</f>
        <v>45267</v>
      </c>
      <c r="AZ40" s="30">
        <f>IF(DAY(DecSunYear2)=1,IF(AND(YEAR(DecSunYear2+6)=CalendarYear+1,MONTH(DecSunYear2+6)=12),DecSunYear2+6,""),IF(AND(YEAR(DecSunYear2+13)=CalendarYear+1,MONTH(DecSunYear2+13)=12),DecSunYear2+13,""))</f>
        <v>45268</v>
      </c>
      <c r="BA40" s="34">
        <f>IF(DAY(DecSunYear2)=1,IF(AND(YEAR(DecSunYear2+7)=CalendarYear+1,MONTH(DecSunYear2+7)=12),DecSunYear2+7,""),IF(AND(YEAR(DecSunYear2+14)=CalendarYear+1,MONTH(DecSunYear2+14)=12),DecSunYear2+14,""))</f>
        <v>45269</v>
      </c>
    </row>
    <row r="41" spans="3:53" x14ac:dyDescent="0.25">
      <c r="G41" s="31">
        <f>IF(DAY(JulSunYear2)=1,IF(AND(YEAR(JulSunYear2+8)=CalendarYear+1,MONTH(JulSunYear2+8)=7),JulSunYear2+8,""),IF(AND(YEAR(JulSunYear2+15)=CalendarYear+1,MONTH(JulSunYear2+15)=7),JulSunYear2+15,""))</f>
        <v>45116</v>
      </c>
      <c r="H41" s="30">
        <f>IF(DAY(JulSunYear2)=1,IF(AND(YEAR(JulSunYear2+9)=CalendarYear+1,MONTH(JulSunYear2+9)=7),JulSunYear2+9,""),IF(AND(YEAR(JulSunYear2+16)=CalendarYear+1,MONTH(JulSunYear2+16)=7),JulSunYear2+16,""))</f>
        <v>45117</v>
      </c>
      <c r="I41" s="30">
        <f>IF(DAY(JulSunYear2)=1,IF(AND(YEAR(JulSunYear2+10)=CalendarYear+1,MONTH(JulSunYear2+10)=7),JulSunYear2+10,""),IF(AND(YEAR(JulSunYear2+17)=CalendarYear+1,MONTH(JulSunYear2+17)=7),JulSunYear2+17,""))</f>
        <v>45118</v>
      </c>
      <c r="J41" s="30">
        <f>IF(DAY(JulSunYear2)=1,IF(AND(YEAR(JulSunYear2+11)=CalendarYear+1,MONTH(JulSunYear2+11)=7),JulSunYear2+11,""),IF(AND(YEAR(JulSunYear2+18)=CalendarYear+1,MONTH(JulSunYear2+18)=7),JulSunYear2+18,""))</f>
        <v>45119</v>
      </c>
      <c r="K41" s="30">
        <f>IF(DAY(JulSunYear2)=1,IF(AND(YEAR(JulSunYear2+12)=CalendarYear+1,MONTH(JulSunYear2+12)=7),JulSunYear2+12,""),IF(AND(YEAR(JulSunYear2+19)=CalendarYear+1,MONTH(JulSunYear2+19)=7),JulSunYear2+19,""))</f>
        <v>45120</v>
      </c>
      <c r="L41" s="30">
        <f>IF(DAY(JulSunYear2)=1,IF(AND(YEAR(JulSunYear2+13)=CalendarYear+1,MONTH(JulSunYear2+13)=7),JulSunYear2+13,""),IF(AND(YEAR(JulSunYear2+20)=CalendarYear+1,MONTH(JulSunYear2+20)=7),JulSunYear2+20,""))</f>
        <v>45121</v>
      </c>
      <c r="M41" s="30">
        <f>IF(DAY(JulSunYear2)=1,IF(AND(YEAR(JulSunYear2+14)=CalendarYear+1,MONTH(JulSunYear2+14)=7),JulSunYear2+14,""),IF(AND(YEAR(JulSunYear2+21)=CalendarYear+1,MONTH(JulSunYear2+21)=7),JulSunYear2+21,""))</f>
        <v>45122</v>
      </c>
      <c r="N41" s="8"/>
      <c r="O41" s="30">
        <f>IF(DAY(AugSunYear2)=1,IF(AND(YEAR(AugSunYear2+8)=CalendarYear+1,MONTH(AugSunYear2+8)=8),AugSunYear2+8,""),IF(AND(YEAR(AugSunYear2+15)=CalendarYear+1,MONTH(AugSunYear2+15)=8),AugSunYear2+15,""))</f>
        <v>45151</v>
      </c>
      <c r="P41" s="30">
        <f>IF(DAY(AugSunYear2)=1,IF(AND(YEAR(AugSunYear2+9)=CalendarYear+1,MONTH(AugSunYear2+9)=8),AugSunYear2+9,""),IF(AND(YEAR(AugSunYear2+16)=CalendarYear+1,MONTH(AugSunYear2+16)=8),AugSunYear2+16,""))</f>
        <v>45152</v>
      </c>
      <c r="Q41" s="30">
        <f>IF(DAY(AugSunYear2)=1,IF(AND(YEAR(AugSunYear2+10)=CalendarYear+1,MONTH(AugSunYear2+10)=8),AugSunYear2+10,""),IF(AND(YEAR(AugSunYear2+17)=CalendarYear+1,MONTH(AugSunYear2+17)=8),AugSunYear2+17,""))</f>
        <v>45153</v>
      </c>
      <c r="R41" s="30">
        <f>IF(DAY(AugSunYear2)=1,IF(AND(YEAR(AugSunYear2+11)=CalendarYear+1,MONTH(AugSunYear2+11)=8),AugSunYear2+11,""),IF(AND(YEAR(AugSunYear2+18)=CalendarYear+1,MONTH(AugSunYear2+18)=8),AugSunYear2+18,""))</f>
        <v>45154</v>
      </c>
      <c r="S41" s="30">
        <f>IF(DAY(AugSunYear2)=1,IF(AND(YEAR(AugSunYear2+12)=CalendarYear+1,MONTH(AugSunYear2+12)=8),AugSunYear2+12,""),IF(AND(YEAR(AugSunYear2+19)=CalendarYear+1,MONTH(AugSunYear2+19)=8),AugSunYear2+19,""))</f>
        <v>45155</v>
      </c>
      <c r="T41" s="30">
        <f>IF(DAY(AugSunYear2)=1,IF(AND(YEAR(AugSunYear2+13)=CalendarYear+1,MONTH(AugSunYear2+13)=8),AugSunYear2+13,""),IF(AND(YEAR(AugSunYear2+20)=CalendarYear+1,MONTH(AugSunYear2+20)=8),AugSunYear2+20,""))</f>
        <v>45156</v>
      </c>
      <c r="U41" s="30">
        <f>IF(DAY(AugSunYear2)=1,IF(AND(YEAR(AugSunYear2+14)=CalendarYear+1,MONTH(AugSunYear2+14)=8),AugSunYear2+14,""),IF(AND(YEAR(AugSunYear2+21)=CalendarYear+1,MONTH(AugSunYear2+21)=8),AugSunYear2+21,""))</f>
        <v>45157</v>
      </c>
      <c r="V41" s="4"/>
      <c r="W41" s="30">
        <f>IF(DAY(SepSunYear2)=1,IF(AND(YEAR(SepSunYear2+8)=CalendarYear+1,MONTH(SepSunYear2+8)=9),SepSunYear2+8,""),IF(AND(YEAR(SepSunYear2+15)=CalendarYear+1,MONTH(SepSunYear2+15)=9),SepSunYear2+15,""))</f>
        <v>45179</v>
      </c>
      <c r="X41" s="30">
        <f>IF(DAY(SepSunYear2)=1,IF(AND(YEAR(SepSunYear2+9)=CalendarYear+1,MONTH(SepSunYear2+9)=9),SepSunYear2+9,""),IF(AND(YEAR(SepSunYear2+16)=CalendarYear+1,MONTH(SepSunYear2+16)=9),SepSunYear2+16,""))</f>
        <v>45180</v>
      </c>
      <c r="Y41" s="30">
        <f>IF(DAY(SepSunYear2)=1,IF(AND(YEAR(SepSunYear2+10)=CalendarYear+1,MONTH(SepSunYear2+10)=9),SepSunYear2+10,""),IF(AND(YEAR(SepSunYear2+17)=CalendarYear+1,MONTH(SepSunYear2+17)=9),SepSunYear2+17,""))</f>
        <v>45181</v>
      </c>
      <c r="Z41" s="30">
        <f>IF(DAY(SepSunYear2)=1,IF(AND(YEAR(SepSunYear2+11)=CalendarYear+1,MONTH(SepSunYear2+11)=9),SepSunYear2+11,""),IF(AND(YEAR(SepSunYear2+18)=CalendarYear+1,MONTH(SepSunYear2+18)=9),SepSunYear2+18,""))</f>
        <v>45182</v>
      </c>
      <c r="AA41" s="30">
        <f>IF(DAY(SepSunYear2)=1,IF(AND(YEAR(SepSunYear2+12)=CalendarYear+1,MONTH(SepSunYear2+12)=9),SepSunYear2+12,""),IF(AND(YEAR(SepSunYear2+19)=CalendarYear+1,MONTH(SepSunYear2+19)=9),SepSunYear2+19,""))</f>
        <v>45183</v>
      </c>
      <c r="AB41" s="30">
        <f>IF(DAY(SepSunYear2)=1,IF(AND(YEAR(SepSunYear2+13)=CalendarYear+1,MONTH(SepSunYear2+13)=9),SepSunYear2+13,""),IF(AND(YEAR(SepSunYear2+20)=CalendarYear+1,MONTH(SepSunYear2+20)=9),SepSunYear2+20,""))</f>
        <v>45184</v>
      </c>
      <c r="AC41" s="30">
        <f>IF(DAY(SepSunYear2)=1,IF(AND(YEAR(SepSunYear2+14)=CalendarYear+1,MONTH(SepSunYear2+14)=9),SepSunYear2+14,""),IF(AND(YEAR(SepSunYear2+21)=CalendarYear+1,MONTH(SepSunYear2+21)=9),SepSunYear2+21,""))</f>
        <v>45185</v>
      </c>
      <c r="AD41" s="8"/>
      <c r="AE41" s="30">
        <f>IF(DAY(OctSunYear2)=1,IF(AND(YEAR(OctSunYear2+8)=CalendarYear+1,MONTH(OctSunYear2+8)=10),OctSunYear2+8,""),IF(AND(YEAR(OctSunYear2+15)=CalendarYear+1,MONTH(OctSunYear2+15)=10),OctSunYear2+15,""))</f>
        <v>45214</v>
      </c>
      <c r="AF41" s="30">
        <f>IF(DAY(OctSunYear2)=1,IF(AND(YEAR(OctSunYear2+9)=CalendarYear+1,MONTH(OctSunYear2+9)=10),OctSunYear2+9,""),IF(AND(YEAR(OctSunYear2+16)=CalendarYear+1,MONTH(OctSunYear2+16)=10),OctSunYear2+16,""))</f>
        <v>45215</v>
      </c>
      <c r="AG41" s="30">
        <f>IF(DAY(OctSunYear2)=1,IF(AND(YEAR(OctSunYear2+10)=CalendarYear+1,MONTH(OctSunYear2+10)=10),OctSunYear2+10,""),IF(AND(YEAR(OctSunYear2+17)=CalendarYear+1,MONTH(OctSunYear2+17)=10),OctSunYear2+17,""))</f>
        <v>45216</v>
      </c>
      <c r="AH41" s="30">
        <f>IF(DAY(OctSunYear2)=1,IF(AND(YEAR(OctSunYear2+11)=CalendarYear+1,MONTH(OctSunYear2+11)=10),OctSunYear2+11,""),IF(AND(YEAR(OctSunYear2+18)=CalendarYear+1,MONTH(OctSunYear2+18)=10),OctSunYear2+18,""))</f>
        <v>45217</v>
      </c>
      <c r="AI41" s="30">
        <f>IF(DAY(OctSunYear2)=1,IF(AND(YEAR(OctSunYear2+12)=CalendarYear+1,MONTH(OctSunYear2+12)=10),OctSunYear2+12,""),IF(AND(YEAR(OctSunYear2+19)=CalendarYear+1,MONTH(OctSunYear2+19)=10),OctSunYear2+19,""))</f>
        <v>45218</v>
      </c>
      <c r="AJ41" s="30">
        <f>IF(DAY(OctSunYear2)=1,IF(AND(YEAR(OctSunYear2+13)=CalendarYear+1,MONTH(OctSunYear2+13)=10),OctSunYear2+13,""),IF(AND(YEAR(OctSunYear2+20)=CalendarYear+1,MONTH(OctSunYear2+20)=10),OctSunYear2+20,""))</f>
        <v>45219</v>
      </c>
      <c r="AK41" s="30">
        <f>IF(DAY(OctSunYear2)=1,IF(AND(YEAR(OctSunYear2+14)=CalendarYear+1,MONTH(OctSunYear2+14)=10),OctSunYear2+14,""),IF(AND(YEAR(OctSunYear2+21)=CalendarYear+1,MONTH(OctSunYear2+21)=10),OctSunYear2+21,""))</f>
        <v>45220</v>
      </c>
      <c r="AL41" s="4"/>
      <c r="AM41" s="30">
        <f>IF(DAY(NovSunYear2)=1,IF(AND(YEAR(NovSunYear2+8)=CalendarYear+1,MONTH(NovSunYear2+8)=11),NovSunYear2+8,""),IF(AND(YEAR(NovSunYear2+15)=CalendarYear+1,MONTH(NovSunYear2+15)=11),NovSunYear2+15,""))</f>
        <v>45242</v>
      </c>
      <c r="AN41" s="30">
        <f>IF(DAY(NovSunYear2)=1,IF(AND(YEAR(NovSunYear2+9)=CalendarYear+1,MONTH(NovSunYear2+9)=11),NovSunYear2+9,""),IF(AND(YEAR(NovSunYear2+16)=CalendarYear+1,MONTH(NovSunYear2+16)=11),NovSunYear2+16,""))</f>
        <v>45243</v>
      </c>
      <c r="AO41" s="30">
        <f>IF(DAY(NovSunYear2)=1,IF(AND(YEAR(NovSunYear2+10)=CalendarYear+1,MONTH(NovSunYear2+10)=11),NovSunYear2+10,""),IF(AND(YEAR(NovSunYear2+17)=CalendarYear+1,MONTH(NovSunYear2+17)=11),NovSunYear2+17,""))</f>
        <v>45244</v>
      </c>
      <c r="AP41" s="30">
        <f>IF(DAY(NovSunYear2)=1,IF(AND(YEAR(NovSunYear2+11)=CalendarYear+1,MONTH(NovSunYear2+11)=11),NovSunYear2+11,""),IF(AND(YEAR(NovSunYear2+18)=CalendarYear+1,MONTH(NovSunYear2+18)=11),NovSunYear2+18,""))</f>
        <v>45245</v>
      </c>
      <c r="AQ41" s="30">
        <f>IF(DAY(NovSunYear2)=1,IF(AND(YEAR(NovSunYear2+12)=CalendarYear+1,MONTH(NovSunYear2+12)=11),NovSunYear2+12,""),IF(AND(YEAR(NovSunYear2+19)=CalendarYear+1,MONTH(NovSunYear2+19)=11),NovSunYear2+19,""))</f>
        <v>45246</v>
      </c>
      <c r="AR41" s="30">
        <f>IF(DAY(NovSunYear2)=1,IF(AND(YEAR(NovSunYear2+13)=CalendarYear+1,MONTH(NovSunYear2+13)=11),NovSunYear2+13,""),IF(AND(YEAR(NovSunYear2+20)=CalendarYear+1,MONTH(NovSunYear2+20)=11),NovSunYear2+20,""))</f>
        <v>45247</v>
      </c>
      <c r="AS41" s="30">
        <f>IF(DAY(NovSunYear2)=1,IF(AND(YEAR(NovSunYear2+14)=CalendarYear+1,MONTH(NovSunYear2+14)=11),NovSunYear2+14,""),IF(AND(YEAR(NovSunYear2+21)=CalendarYear+1,MONTH(NovSunYear2+21)=11),NovSunYear2+21,""))</f>
        <v>45248</v>
      </c>
      <c r="AT41" s="20"/>
      <c r="AU41" s="30">
        <f>IF(DAY(DecSunYear2)=1,IF(AND(YEAR(DecSunYear2+8)=CalendarYear+1,MONTH(DecSunYear2+8)=12),DecSunYear2+8,""),IF(AND(YEAR(DecSunYear2+15)=CalendarYear+1,MONTH(DecSunYear2+15)=12),DecSunYear2+15,""))</f>
        <v>45270</v>
      </c>
      <c r="AV41" s="30">
        <f>IF(DAY(DecSunYear2)=1,IF(AND(YEAR(DecSunYear2+9)=CalendarYear+1,MONTH(DecSunYear2+9)=12),DecSunYear2+9,""),IF(AND(YEAR(DecSunYear2+16)=CalendarYear+1,MONTH(DecSunYear2+16)=12),DecSunYear2+16,""))</f>
        <v>45271</v>
      </c>
      <c r="AW41" s="30">
        <f>IF(DAY(DecSunYear2)=1,IF(AND(YEAR(DecSunYear2+10)=CalendarYear+1,MONTH(DecSunYear2+10)=12),DecSunYear2+10,""),IF(AND(YEAR(DecSunYear2+17)=CalendarYear+1,MONTH(DecSunYear2+17)=12),DecSunYear2+17,""))</f>
        <v>45272</v>
      </c>
      <c r="AX41" s="30">
        <f>IF(DAY(DecSunYear2)=1,IF(AND(YEAR(DecSunYear2+11)=CalendarYear+1,MONTH(DecSunYear2+11)=12),DecSunYear2+11,""),IF(AND(YEAR(DecSunYear2+18)=CalendarYear+1,MONTH(DecSunYear2+18)=12),DecSunYear2+18,""))</f>
        <v>45273</v>
      </c>
      <c r="AY41" s="30">
        <f>IF(DAY(DecSunYear2)=1,IF(AND(YEAR(DecSunYear2+12)=CalendarYear+1,MONTH(DecSunYear2+12)=12),DecSunYear2+12,""),IF(AND(YEAR(DecSunYear2+19)=CalendarYear+1,MONTH(DecSunYear2+19)=12),DecSunYear2+19,""))</f>
        <v>45274</v>
      </c>
      <c r="AZ41" s="30">
        <f>IF(DAY(DecSunYear2)=1,IF(AND(YEAR(DecSunYear2+13)=CalendarYear+1,MONTH(DecSunYear2+13)=12),DecSunYear2+13,""),IF(AND(YEAR(DecSunYear2+20)=CalendarYear+1,MONTH(DecSunYear2+20)=12),DecSunYear2+20,""))</f>
        <v>45275</v>
      </c>
      <c r="BA41" s="34">
        <f>IF(DAY(DecSunYear2)=1,IF(AND(YEAR(DecSunYear2+14)=CalendarYear+1,MONTH(DecSunYear2+14)=12),DecSunYear2+14,""),IF(AND(YEAR(DecSunYear2+21)=CalendarYear+1,MONTH(DecSunYear2+21)=12),DecSunYear2+21,""))</f>
        <v>45276</v>
      </c>
    </row>
    <row r="42" spans="3:53" x14ac:dyDescent="0.25">
      <c r="G42" s="31">
        <f>IF(DAY(JulSunYear2)=1,IF(AND(YEAR(JulSunYear2+15)=CalendarYear+1,MONTH(JulSunYear2+15)=7),JulSunYear2+15,""),IF(AND(YEAR(JulSunYear2+22)=CalendarYear+1,MONTH(JulSunYear2+22)=7),JulSunYear2+22,""))</f>
        <v>45123</v>
      </c>
      <c r="H42" s="30">
        <f>IF(DAY(JulSunYear2)=1,IF(AND(YEAR(JulSunYear2+16)=CalendarYear+1,MONTH(JulSunYear2+16)=7),JulSunYear2+16,""),IF(AND(YEAR(JulSunYear2+23)=CalendarYear+1,MONTH(JulSunYear2+23)=7),JulSunYear2+23,""))</f>
        <v>45124</v>
      </c>
      <c r="I42" s="30">
        <f>IF(DAY(JulSunYear2)=1,IF(AND(YEAR(JulSunYear2+17)=CalendarYear+1,MONTH(JulSunYear2+17)=7),JulSunYear2+17,""),IF(AND(YEAR(JulSunYear2+24)=CalendarYear+1,MONTH(JulSunYear2+24)=7),JulSunYear2+24,""))</f>
        <v>45125</v>
      </c>
      <c r="J42" s="30">
        <f>IF(DAY(JulSunYear2)=1,IF(AND(YEAR(JulSunYear2+18)=CalendarYear+1,MONTH(JulSunYear2+18)=7),JulSunYear2+18,""),IF(AND(YEAR(JulSunYear2+25)=CalendarYear+1,MONTH(JulSunYear2+25)=7),JulSunYear2+25,""))</f>
        <v>45126</v>
      </c>
      <c r="K42" s="30">
        <f>IF(DAY(JulSunYear2)=1,IF(AND(YEAR(JulSunYear2+19)=CalendarYear+1,MONTH(JulSunYear2+19)=7),JulSunYear2+19,""),IF(AND(YEAR(JulSunYear2+26)=CalendarYear+1,MONTH(JulSunYear2+26)=7),JulSunYear2+26,""))</f>
        <v>45127</v>
      </c>
      <c r="L42" s="30">
        <f>IF(DAY(JulSunYear2)=1,IF(AND(YEAR(JulSunYear2+20)=CalendarYear+1,MONTH(JulSunYear2+20)=7),JulSunYear2+20,""),IF(AND(YEAR(JulSunYear2+27)=CalendarYear+1,MONTH(JulSunYear2+27)=7),JulSunYear2+27,""))</f>
        <v>45128</v>
      </c>
      <c r="M42" s="30">
        <f>IF(DAY(JulSunYear2)=1,IF(AND(YEAR(JulSunYear2+21)=CalendarYear+1,MONTH(JulSunYear2+21)=7),JulSunYear2+21,""),IF(AND(YEAR(JulSunYear2+28)=CalendarYear+1,MONTH(JulSunYear2+28)=7),JulSunYear2+28,""))</f>
        <v>45129</v>
      </c>
      <c r="N42" s="8"/>
      <c r="O42" s="30">
        <f>IF(DAY(AugSunYear2)=1,IF(AND(YEAR(AugSunYear2+15)=CalendarYear+1,MONTH(AugSunYear2+15)=8),AugSunYear2+15,""),IF(AND(YEAR(AugSunYear2+22)=CalendarYear+1,MONTH(AugSunYear2+22)=8),AugSunYear2+22,""))</f>
        <v>45158</v>
      </c>
      <c r="P42" s="30">
        <f>IF(DAY(AugSunYear2)=1,IF(AND(YEAR(AugSunYear2+16)=CalendarYear+1,MONTH(AugSunYear2+16)=8),AugSunYear2+16,""),IF(AND(YEAR(AugSunYear2+23)=CalendarYear+1,MONTH(AugSunYear2+23)=8),AugSunYear2+23,""))</f>
        <v>45159</v>
      </c>
      <c r="Q42" s="30">
        <f>IF(DAY(AugSunYear2)=1,IF(AND(YEAR(AugSunYear2+17)=CalendarYear+1,MONTH(AugSunYear2+17)=8),AugSunYear2+17,""),IF(AND(YEAR(AugSunYear2+24)=CalendarYear+1,MONTH(AugSunYear2+24)=8),AugSunYear2+24,""))</f>
        <v>45160</v>
      </c>
      <c r="R42" s="30">
        <f>IF(DAY(AugSunYear2)=1,IF(AND(YEAR(AugSunYear2+18)=CalendarYear+1,MONTH(AugSunYear2+18)=8),AugSunYear2+18,""),IF(AND(YEAR(AugSunYear2+25)=CalendarYear+1,MONTH(AugSunYear2+25)=8),AugSunYear2+25,""))</f>
        <v>45161</v>
      </c>
      <c r="S42" s="30">
        <f>IF(DAY(AugSunYear2)=1,IF(AND(YEAR(AugSunYear2+19)=CalendarYear+1,MONTH(AugSunYear2+19)=8),AugSunYear2+19,""),IF(AND(YEAR(AugSunYear2+26)=CalendarYear+1,MONTH(AugSunYear2+26)=8),AugSunYear2+26,""))</f>
        <v>45162</v>
      </c>
      <c r="T42" s="30">
        <f>IF(DAY(AugSunYear2)=1,IF(AND(YEAR(AugSunYear2+20)=CalendarYear+1,MONTH(AugSunYear2+20)=8),AugSunYear2+20,""),IF(AND(YEAR(AugSunYear2+27)=CalendarYear+1,MONTH(AugSunYear2+27)=8),AugSunYear2+27,""))</f>
        <v>45163</v>
      </c>
      <c r="U42" s="30">
        <f>IF(DAY(AugSunYear2)=1,IF(AND(YEAR(AugSunYear2+21)=CalendarYear+1,MONTH(AugSunYear2+21)=8),AugSunYear2+21,""),IF(AND(YEAR(AugSunYear2+28)=CalendarYear+1,MONTH(AugSunYear2+28)=8),AugSunYear2+28,""))</f>
        <v>45164</v>
      </c>
      <c r="V42" s="4"/>
      <c r="W42" s="30">
        <f>IF(DAY(SepSunYear2)=1,IF(AND(YEAR(SepSunYear2+15)=CalendarYear+1,MONTH(SepSunYear2+15)=9),SepSunYear2+15,""),IF(AND(YEAR(SepSunYear2+22)=CalendarYear+1,MONTH(SepSunYear2+22)=9),SepSunYear2+22,""))</f>
        <v>45186</v>
      </c>
      <c r="X42" s="30">
        <f>IF(DAY(SepSunYear2)=1,IF(AND(YEAR(SepSunYear2+16)=CalendarYear+1,MONTH(SepSunYear2+16)=9),SepSunYear2+16,""),IF(AND(YEAR(SepSunYear2+23)=CalendarYear+1,MONTH(SepSunYear2+23)=9),SepSunYear2+23,""))</f>
        <v>45187</v>
      </c>
      <c r="Y42" s="30">
        <f>IF(DAY(SepSunYear2)=1,IF(AND(YEAR(SepSunYear2+17)=CalendarYear+1,MONTH(SepSunYear2+17)=9),SepSunYear2+17,""),IF(AND(YEAR(SepSunYear2+24)=CalendarYear+1,MONTH(SepSunYear2+24)=9),SepSunYear2+24,""))</f>
        <v>45188</v>
      </c>
      <c r="Z42" s="30">
        <f>IF(DAY(SepSunYear2)=1,IF(AND(YEAR(SepSunYear2+18)=CalendarYear+1,MONTH(SepSunYear2+18)=9),SepSunYear2+18,""),IF(AND(YEAR(SepSunYear2+25)=CalendarYear+1,MONTH(SepSunYear2+25)=9),SepSunYear2+25,""))</f>
        <v>45189</v>
      </c>
      <c r="AA42" s="30">
        <f>IF(DAY(SepSunYear2)=1,IF(AND(YEAR(SepSunYear2+19)=CalendarYear+1,MONTH(SepSunYear2+19)=9),SepSunYear2+19,""),IF(AND(YEAR(SepSunYear2+26)=CalendarYear+1,MONTH(SepSunYear2+26)=9),SepSunYear2+26,""))</f>
        <v>45190</v>
      </c>
      <c r="AB42" s="30">
        <f>IF(DAY(SepSunYear2)=1,IF(AND(YEAR(SepSunYear2+20)=CalendarYear+1,MONTH(SepSunYear2+20)=9),SepSunYear2+20,""),IF(AND(YEAR(SepSunYear2+27)=CalendarYear+1,MONTH(SepSunYear2+27)=9),SepSunYear2+27,""))</f>
        <v>45191</v>
      </c>
      <c r="AC42" s="30">
        <f>IF(DAY(SepSunYear2)=1,IF(AND(YEAR(SepSunYear2+21)=CalendarYear+1,MONTH(SepSunYear2+21)=9),SepSunYear2+21,""),IF(AND(YEAR(SepSunYear2+28)=CalendarYear+1,MONTH(SepSunYear2+28)=9),SepSunYear2+28,""))</f>
        <v>45192</v>
      </c>
      <c r="AD42" s="8"/>
      <c r="AE42" s="30">
        <f>IF(DAY(OctSunYear2)=1,IF(AND(YEAR(OctSunYear2+15)=CalendarYear+1,MONTH(OctSunYear2+15)=10),OctSunYear2+15,""),IF(AND(YEAR(OctSunYear2+22)=CalendarYear+1,MONTH(OctSunYear2+22)=10),OctSunYear2+22,""))</f>
        <v>45221</v>
      </c>
      <c r="AF42" s="30">
        <f>IF(DAY(OctSunYear2)=1,IF(AND(YEAR(OctSunYear2+16)=CalendarYear+1,MONTH(OctSunYear2+16)=10),OctSunYear2+16,""),IF(AND(YEAR(OctSunYear2+23)=CalendarYear+1,MONTH(OctSunYear2+23)=10),OctSunYear2+23,""))</f>
        <v>45222</v>
      </c>
      <c r="AG42" s="30">
        <f>IF(DAY(OctSunYear2)=1,IF(AND(YEAR(OctSunYear2+17)=CalendarYear+1,MONTH(OctSunYear2+17)=10),OctSunYear2+17,""),IF(AND(YEAR(OctSunYear2+24)=CalendarYear+1,MONTH(OctSunYear2+24)=10),OctSunYear2+24,""))</f>
        <v>45223</v>
      </c>
      <c r="AH42" s="30">
        <f>IF(DAY(OctSunYear2)=1,IF(AND(YEAR(OctSunYear2+18)=CalendarYear+1,MONTH(OctSunYear2+18)=10),OctSunYear2+18,""),IF(AND(YEAR(OctSunYear2+25)=CalendarYear+1,MONTH(OctSunYear2+25)=10),OctSunYear2+25,""))</f>
        <v>45224</v>
      </c>
      <c r="AI42" s="30">
        <f>IF(DAY(OctSunYear2)=1,IF(AND(YEAR(OctSunYear2+19)=CalendarYear+1,MONTH(OctSunYear2+19)=10),OctSunYear2+19,""),IF(AND(YEAR(OctSunYear2+26)=CalendarYear+1,MONTH(OctSunYear2+26)=10),OctSunYear2+26,""))</f>
        <v>45225</v>
      </c>
      <c r="AJ42" s="30">
        <f>IF(DAY(OctSunYear2)=1,IF(AND(YEAR(OctSunYear2+20)=CalendarYear+1,MONTH(OctSunYear2+20)=10),OctSunYear2+20,""),IF(AND(YEAR(OctSunYear2+27)=CalendarYear+1,MONTH(OctSunYear2+27)=10),OctSunYear2+27,""))</f>
        <v>45226</v>
      </c>
      <c r="AK42" s="30">
        <f>IF(DAY(OctSunYear2)=1,IF(AND(YEAR(OctSunYear2+21)=CalendarYear+1,MONTH(OctSunYear2+21)=10),OctSunYear2+21,""),IF(AND(YEAR(OctSunYear2+28)=CalendarYear+1,MONTH(OctSunYear2+28)=10),OctSunYear2+28,""))</f>
        <v>45227</v>
      </c>
      <c r="AL42" s="4"/>
      <c r="AM42" s="30">
        <f>IF(DAY(NovSunYear2)=1,IF(AND(YEAR(NovSunYear2+15)=CalendarYear+1,MONTH(NovSunYear2+15)=11),NovSunYear2+15,""),IF(AND(YEAR(NovSunYear2+22)=CalendarYear+1,MONTH(NovSunYear2+22)=11),NovSunYear2+22,""))</f>
        <v>45249</v>
      </c>
      <c r="AN42" s="30">
        <f>IF(DAY(NovSunYear2)=1,IF(AND(YEAR(NovSunYear2+16)=CalendarYear+1,MONTH(NovSunYear2+16)=11),NovSunYear2+16,""),IF(AND(YEAR(NovSunYear2+23)=CalendarYear+1,MONTH(NovSunYear2+23)=11),NovSunYear2+23,""))</f>
        <v>45250</v>
      </c>
      <c r="AO42" s="30">
        <f>IF(DAY(NovSunYear2)=1,IF(AND(YEAR(NovSunYear2+17)=CalendarYear+1,MONTH(NovSunYear2+17)=11),NovSunYear2+17,""),IF(AND(YEAR(NovSunYear2+24)=CalendarYear+1,MONTH(NovSunYear2+24)=11),NovSunYear2+24,""))</f>
        <v>45251</v>
      </c>
      <c r="AP42" s="30">
        <f>IF(DAY(NovSunYear2)=1,IF(AND(YEAR(NovSunYear2+18)=CalendarYear+1,MONTH(NovSunYear2+18)=11),NovSunYear2+18,""),IF(AND(YEAR(NovSunYear2+25)=CalendarYear+1,MONTH(NovSunYear2+25)=11),NovSunYear2+25,""))</f>
        <v>45252</v>
      </c>
      <c r="AQ42" s="30">
        <f>IF(DAY(NovSunYear2)=1,IF(AND(YEAR(NovSunYear2+19)=CalendarYear+1,MONTH(NovSunYear2+19)=11),NovSunYear2+19,""),IF(AND(YEAR(NovSunYear2+26)=CalendarYear+1,MONTH(NovSunYear2+26)=11),NovSunYear2+26,""))</f>
        <v>45253</v>
      </c>
      <c r="AR42" s="30">
        <f>IF(DAY(NovSunYear2)=1,IF(AND(YEAR(NovSunYear2+20)=CalendarYear+1,MONTH(NovSunYear2+20)=11),NovSunYear2+20,""),IF(AND(YEAR(NovSunYear2+27)=CalendarYear+1,MONTH(NovSunYear2+27)=11),NovSunYear2+27,""))</f>
        <v>45254</v>
      </c>
      <c r="AS42" s="30">
        <f>IF(DAY(NovSunYear2)=1,IF(AND(YEAR(NovSunYear2+21)=CalendarYear+1,MONTH(NovSunYear2+21)=11),NovSunYear2+21,""),IF(AND(YEAR(NovSunYear2+28)=CalendarYear+1,MONTH(NovSunYear2+28)=11),NovSunYear2+28,""))</f>
        <v>45255</v>
      </c>
      <c r="AT42" s="20"/>
      <c r="AU42" s="30">
        <f>IF(DAY(DecSunYear2)=1,IF(AND(YEAR(DecSunYear2+15)=CalendarYear+1,MONTH(DecSunYear2+15)=12),DecSunYear2+15,""),IF(AND(YEAR(DecSunYear2+22)=CalendarYear+1,MONTH(DecSunYear2+22)=12),DecSunYear2+22,""))</f>
        <v>45277</v>
      </c>
      <c r="AV42" s="30">
        <f>IF(DAY(DecSunYear2)=1,IF(AND(YEAR(DecSunYear2+16)=CalendarYear+1,MONTH(DecSunYear2+16)=12),DecSunYear2+16,""),IF(AND(YEAR(DecSunYear2+23)=CalendarYear+1,MONTH(DecSunYear2+23)=12),DecSunYear2+23,""))</f>
        <v>45278</v>
      </c>
      <c r="AW42" s="30">
        <f>IF(DAY(DecSunYear2)=1,IF(AND(YEAR(DecSunYear2+17)=CalendarYear+1,MONTH(DecSunYear2+17)=12),DecSunYear2+17,""),IF(AND(YEAR(DecSunYear2+24)=CalendarYear+1,MONTH(DecSunYear2+24)=12),DecSunYear2+24,""))</f>
        <v>45279</v>
      </c>
      <c r="AX42" s="30">
        <f>IF(DAY(DecSunYear2)=1,IF(AND(YEAR(DecSunYear2+18)=CalendarYear+1,MONTH(DecSunYear2+18)=12),DecSunYear2+18,""),IF(AND(YEAR(DecSunYear2+25)=CalendarYear+1,MONTH(DecSunYear2+25)=12),DecSunYear2+25,""))</f>
        <v>45280</v>
      </c>
      <c r="AY42" s="30">
        <f>IF(DAY(DecSunYear2)=1,IF(AND(YEAR(DecSunYear2+19)=CalendarYear+1,MONTH(DecSunYear2+19)=12),DecSunYear2+19,""),IF(AND(YEAR(DecSunYear2+26)=CalendarYear+1,MONTH(DecSunYear2+26)=12),DecSunYear2+26,""))</f>
        <v>45281</v>
      </c>
      <c r="AZ42" s="30">
        <f>IF(DAY(DecSunYear2)=1,IF(AND(YEAR(DecSunYear2+20)=CalendarYear+1,MONTH(DecSunYear2+20)=12),DecSunYear2+20,""),IF(AND(YEAR(DecSunYear2+27)=CalendarYear+1,MONTH(DecSunYear2+27)=12),DecSunYear2+27,""))</f>
        <v>45282</v>
      </c>
      <c r="BA42" s="34">
        <f>IF(DAY(DecSunYear2)=1,IF(AND(YEAR(DecSunYear2+21)=CalendarYear+1,MONTH(DecSunYear2+21)=12),DecSunYear2+21,""),IF(AND(YEAR(DecSunYear2+28)=CalendarYear+1,MONTH(DecSunYear2+28)=12),DecSunYear2+28,""))</f>
        <v>45283</v>
      </c>
    </row>
    <row r="43" spans="3:53" x14ac:dyDescent="0.25">
      <c r="G43" s="31">
        <f>IF(DAY(JulSunYear2)=1,IF(AND(YEAR(JulSunYear2+22)=CalendarYear+1,MONTH(JulSunYear2+22)=7),JulSunYear2+22,""),IF(AND(YEAR(JulSunYear2+29)=CalendarYear+1,MONTH(JulSunYear2+29)=7),JulSunYear2+29,""))</f>
        <v>45130</v>
      </c>
      <c r="H43" s="30">
        <f>IF(DAY(JulSunYear2)=1,IF(AND(YEAR(JulSunYear2+23)=CalendarYear+1,MONTH(JulSunYear2+23)=7),JulSunYear2+23,""),IF(AND(YEAR(JulSunYear2+30)=CalendarYear+1,MONTH(JulSunYear2+30)=7),JulSunYear2+30,""))</f>
        <v>45131</v>
      </c>
      <c r="I43" s="30">
        <f>IF(DAY(JulSunYear2)=1,IF(AND(YEAR(JulSunYear2+24)=CalendarYear+1,MONTH(JulSunYear2+24)=7),JulSunYear2+24,""),IF(AND(YEAR(JulSunYear2+31)=CalendarYear+1,MONTH(JulSunYear2+31)=7),JulSunYear2+31,""))</f>
        <v>45132</v>
      </c>
      <c r="J43" s="30">
        <f>IF(DAY(JulSunYear2)=1,IF(AND(YEAR(JulSunYear2+25)=CalendarYear+1,MONTH(JulSunYear2+25)=7),JulSunYear2+25,""),IF(AND(YEAR(JulSunYear2+32)=CalendarYear+1,MONTH(JulSunYear2+32)=7),JulSunYear2+32,""))</f>
        <v>45133</v>
      </c>
      <c r="K43" s="30">
        <f>IF(DAY(JulSunYear2)=1,IF(AND(YEAR(JulSunYear2+26)=CalendarYear+1,MONTH(JulSunYear2+26)=7),JulSunYear2+26,""),IF(AND(YEAR(JulSunYear2+33)=CalendarYear+1,MONTH(JulSunYear2+33)=7),JulSunYear2+33,""))</f>
        <v>45134</v>
      </c>
      <c r="L43" s="30">
        <f>IF(DAY(JulSunYear2)=1,IF(AND(YEAR(JulSunYear2+27)=CalendarYear+1,MONTH(JulSunYear2+27)=7),JulSunYear2+27,""),IF(AND(YEAR(JulSunYear2+34)=CalendarYear+1,MONTH(JulSunYear2+34)=7),JulSunYear2+34,""))</f>
        <v>45135</v>
      </c>
      <c r="M43" s="30">
        <f>IF(DAY(JulSunYear2)=1,IF(AND(YEAR(JulSunYear2+28)=CalendarYear+11,MONTH(JulSunYear2+28)=7),JulSunYear2+28,""),IF(AND(YEAR(JulSunYear2+35)=CalendarYear+1,MONTH(JulSunYear2+35)=7),JulSunYear2+35,""))</f>
        <v>45136</v>
      </c>
      <c r="N43" s="8"/>
      <c r="O43" s="30">
        <f>IF(DAY(AugSunYear2)=1,IF(AND(YEAR(AugSunYear2+22)=CalendarYear+1,MONTH(AugSunYear2+22)=8),AugSunYear2+22,""),IF(AND(YEAR(AugSunYear2+29)=CalendarYear+1,MONTH(AugSunYear2+29)=8),AugSunYear2+29,""))</f>
        <v>45165</v>
      </c>
      <c r="P43" s="30">
        <f>IF(DAY(AugSunYear2)=1,IF(AND(YEAR(AugSunYear2+23)=CalendarYear+1,MONTH(AugSunYear2+23)=8),AugSunYear2+23,""),IF(AND(YEAR(AugSunYear2+30)=CalendarYear+1,MONTH(AugSunYear2+30)=8),AugSunYear2+30,""))</f>
        <v>45166</v>
      </c>
      <c r="Q43" s="30">
        <f>IF(DAY(AugSunYear2)=1,IF(AND(YEAR(AugSunYear2+24)=CalendarYear+1,MONTH(AugSunYear2+24)=8),AugSunYear2+24,""),IF(AND(YEAR(AugSunYear2+31)=CalendarYear+1,MONTH(AugSunYear2+31)=8),AugSunYear2+31,""))</f>
        <v>45167</v>
      </c>
      <c r="R43" s="30">
        <f>IF(DAY(AugSunYear2)=1,IF(AND(YEAR(AugSunYear2+25)=CalendarYear+1,MONTH(AugSunYear2+25)=8),AugSunYear2+25,""),IF(AND(YEAR(AugSunYear2+32)=CalendarYear+1,MONTH(AugSunYear2+32)=8),AugSunYear2+32,""))</f>
        <v>45168</v>
      </c>
      <c r="S43" s="30">
        <f>IF(DAY(AugSunYear2)=1,IF(AND(YEAR(AugSunYear2+26)=CalendarYear+1,MONTH(AugSunYear2+26)=8),AugSunYear2+26,""),IF(AND(YEAR(AugSunYear2+33)=CalendarYear+1,MONTH(AugSunYear2+33)=8),AugSunYear2+33,""))</f>
        <v>45169</v>
      </c>
      <c r="T43" s="30" t="str">
        <f>IF(DAY(AugSunYear2)=1,IF(AND(YEAR(AugSunYear2+27)=CalendarYear+1,MONTH(AugSunYear2+27)=8),AugSunYear2+27,""),IF(AND(YEAR(AugSunYear2+34)=CalendarYear+1,MONTH(AugSunYear2+34)=8),AugSunYear2+34,""))</f>
        <v/>
      </c>
      <c r="U43" s="30" t="str">
        <f>IF(DAY(AugSunYear2)=1,IF(AND(YEAR(AugSunYear2+28)=CalendarYear+1,MONTH(AugSunYear2+28)=8),AugSunYear2+28,""),IF(AND(YEAR(AugSunYear2+35)=CalendarYear+1,MONTH(AugSunYear2+35)=8),AugSunYear2+35,""))</f>
        <v/>
      </c>
      <c r="V43" s="4"/>
      <c r="W43" s="30">
        <f>IF(DAY(SepSunYear2)=1,IF(AND(YEAR(SepSunYear2+22)=CalendarYear+1,MONTH(SepSunYear2+22)=9),SepSunYear2+22,""),IF(AND(YEAR(SepSunYear2+29)=CalendarYear+1,MONTH(SepSunYear2+29)=9),SepSunYear2+29,""))</f>
        <v>45193</v>
      </c>
      <c r="X43" s="30">
        <f>IF(DAY(SepSunYear2)=1,IF(AND(YEAR(SepSunYear2+23)=CalendarYear+1,MONTH(SepSunYear2+23)=9),SepSunYear2+23,""),IF(AND(YEAR(SepSunYear2+30)=CalendarYear+1,MONTH(SepSunYear2+30)=9),SepSunYear2+30,""))</f>
        <v>45194</v>
      </c>
      <c r="Y43" s="30">
        <f>IF(DAY(SepSunYear2)=1,IF(AND(YEAR(SepSunYear2+24)=CalendarYear+1,MONTH(SepSunYear2+24)=9),SepSunYear2+24,""),IF(AND(YEAR(SepSunYear2+31)=CalendarYear+1,MONTH(SepSunYear2+31)=9),SepSunYear2+31,""))</f>
        <v>45195</v>
      </c>
      <c r="Z43" s="30">
        <f>IF(DAY(SepSunYear2)=1,IF(AND(YEAR(SepSunYear2+25)=CalendarYear+1,MONTH(SepSunYear2+25)=9),SepSunYear2+25,""),IF(AND(YEAR(SepSunYear2+32)=CalendarYear+1,MONTH(SepSunYear2+32)=9),SepSunYear2+32,""))</f>
        <v>45196</v>
      </c>
      <c r="AA43" s="30">
        <f>IF(DAY(SepSunYear2)=1,IF(AND(YEAR(SepSunYear2+26)=CalendarYear+1,MONTH(SepSunYear2+26)=9),SepSunYear2+26,""),IF(AND(YEAR(SepSunYear2+33)=CalendarYear+1,MONTH(SepSunYear2+33)=9),SepSunYear2+33,""))</f>
        <v>45197</v>
      </c>
      <c r="AB43" s="30">
        <f>IF(DAY(SepSunYear2)=1,IF(AND(YEAR(SepSunYear2+27)=CalendarYear+1,MONTH(SepSunYear2+27)=9),SepSunYear2+27,""),IF(AND(YEAR(SepSunYear2+34)=CalendarYear+1,MONTH(SepSunYear2+34)=9),SepSunYear2+34,""))</f>
        <v>45198</v>
      </c>
      <c r="AC43" s="30">
        <f>IF(DAY(SepSunYear2)=1,IF(AND(YEAR(SepSunYear2+28)=CalendarYear+1,MONTH(SepSunYear2+28)=9),SepSunYear2+28,""),IF(AND(YEAR(SepSunYear2+35)=CalendarYear+1,MONTH(SepSunYear2+35)=9),SepSunYear2+35,""))</f>
        <v>45199</v>
      </c>
      <c r="AD43" s="8"/>
      <c r="AE43" s="30">
        <f>IF(DAY(OctSunYear2)=1,IF(AND(YEAR(OctSunYear2+22)=CalendarYear+1,MONTH(OctSunYear2+22)=10),OctSunYear2+22,""),IF(AND(YEAR(OctSunYear2+29)=CalendarYear+1,MONTH(OctSunYear2+29)=10),OctSunYear2+29,""))</f>
        <v>45228</v>
      </c>
      <c r="AF43" s="30">
        <f>IF(DAY(OctSunYear2)=1,IF(AND(YEAR(OctSunYear2+23)=CalendarYear+1,MONTH(OctSunYear2+23)=10),OctSunYear2+23,""),IF(AND(YEAR(OctSunYear2+30)=CalendarYear+1,MONTH(OctSunYear2+30)=10),OctSunYear2+30,""))</f>
        <v>45229</v>
      </c>
      <c r="AG43" s="30">
        <f>IF(DAY(OctSunYear2)=1,IF(AND(YEAR(OctSunYear2+24)=CalendarYear+1,MONTH(OctSunYear2+24)=10),OctSunYear2+24,""),IF(AND(YEAR(OctSunYear2+31)=CalendarYear+1,MONTH(OctSunYear2+31)=10),OctSunYear2+31,""))</f>
        <v>45230</v>
      </c>
      <c r="AH43" s="30" t="str">
        <f>IF(DAY(OctSunYear2)=1,IF(AND(YEAR(OctSunYear2+25)=CalendarYear+1,MONTH(OctSunYear2+25)=10),OctSunYear2+25,""),IF(AND(YEAR(OctSunYear2+32)=CalendarYear+1,MONTH(OctSunYear2+32)=10),OctSunYear2+32,""))</f>
        <v/>
      </c>
      <c r="AI43" s="30" t="str">
        <f>IF(DAY(OctSunYear2)=1,IF(AND(YEAR(OctSunYear2+26)=CalendarYear+1,MONTH(OctSunYear2+26)=10),OctSunYear2+26,""),IF(AND(YEAR(OctSunYear2+33)=CalendarYear+1,MONTH(OctSunYear2+33)=10),OctSunYear2+33,""))</f>
        <v/>
      </c>
      <c r="AJ43" s="30" t="str">
        <f>IF(DAY(OctSunYear2)=1,IF(AND(YEAR(OctSunYear2+27)=CalendarYear+1,MONTH(OctSunYear2+27)=10),OctSunYear2+27,""),IF(AND(YEAR(OctSunYear2+34)=CalendarYear+1,MONTH(OctSunYear2+34)=10),OctSunYear2+34,""))</f>
        <v/>
      </c>
      <c r="AK43" s="30" t="str">
        <f>IF(DAY(OctSunYear2)=1,IF(AND(YEAR(OctSunYear2+28)=CalendarYear+1,MONTH(OctSunYear2+28)=10),OctSunYear2+28,""),IF(AND(YEAR(OctSunYear2+35)=CalendarYear+1,MONTH(OctSunYear2+35)=10),OctSunYear2+35,""))</f>
        <v/>
      </c>
      <c r="AL43" s="4"/>
      <c r="AM43" s="30">
        <f>IF(DAY(NovSunYear2)=1,IF(AND(YEAR(NovSunYear2+22)=CalendarYear+1,MONTH(NovSunYear2+22)=11),NovSunYear2+22,""),IF(AND(YEAR(NovSunYear2+29)=CalendarYear+1,MONTH(NovSunYear2+29)=11),NovSunYear2+29,""))</f>
        <v>45256</v>
      </c>
      <c r="AN43" s="30">
        <f>IF(DAY(NovSunYear2)=1,IF(AND(YEAR(NovSunYear2+23)=CalendarYear+1,MONTH(NovSunYear2+23)=11),NovSunYear2+23,""),IF(AND(YEAR(NovSunYear2+30)=CalendarYear+1,MONTH(NovSunYear2+30)=11),NovSunYear2+30,""))</f>
        <v>45257</v>
      </c>
      <c r="AO43" s="30">
        <f>IF(DAY(NovSunYear2)=1,IF(AND(YEAR(NovSunYear2+24)=CalendarYear+1,MONTH(NovSunYear2+24)=11),NovSunYear2+24,""),IF(AND(YEAR(NovSunYear2+31)=CalendarYear+1,MONTH(NovSunYear2+31)=11),NovSunYear2+31,""))</f>
        <v>45258</v>
      </c>
      <c r="AP43" s="30">
        <f>IF(DAY(NovSunYear2)=1,IF(AND(YEAR(NovSunYear2+25)=CalendarYear+1,MONTH(NovSunYear2+25)=11),NovSunYear2+25,""),IF(AND(YEAR(NovSunYear2+32)=CalendarYear+1,MONTH(NovSunYear2+32)=11),NovSunYear2+32,""))</f>
        <v>45259</v>
      </c>
      <c r="AQ43" s="30">
        <f>IF(DAY(NovSunYear2)=1,IF(AND(YEAR(NovSunYear2+26)=CalendarYear+1,MONTH(NovSunYear2+26)=11),NovSunYear2+26,""),IF(AND(YEAR(NovSunYear2+33)=CalendarYear+1,MONTH(NovSunYear2+33)=11),NovSunYear2+33,""))</f>
        <v>45260</v>
      </c>
      <c r="AR43" s="30" t="str">
        <f>IF(DAY(NovSunYear2)=1,IF(AND(YEAR(NovSunYear2+27)=CalendarYear+1,MONTH(NovSunYear2+27)=11),NovSunYear2+27,""),IF(AND(YEAR(NovSunYear2+34)=CalendarYear+1,MONTH(NovSunYear2+34)=11),NovSunYear2+34,""))</f>
        <v/>
      </c>
      <c r="AS43" s="30" t="str">
        <f>IF(DAY(NovSunYear2)=1,IF(AND(YEAR(NovSunYear2+28)=CalendarYear+1,MONTH(NovSunYear2+28)=11),NovSunYear2+28,""),IF(AND(YEAR(NovSunYear2+35)=CalendarYear+1,MONTH(NovSunYear2+35)=11),NovSunYear2+35,""))</f>
        <v/>
      </c>
      <c r="AT43" s="20"/>
      <c r="AU43" s="30">
        <f>IF(DAY(DecSunYear2)=1,IF(AND(YEAR(DecSunYear2+22)=CalendarYear+1,MONTH(DecSunYear2+22)=12),DecSunYear2+22,""),IF(AND(YEAR(DecSunYear2+29)=CalendarYear+1,MONTH(DecSunYear2+29)=12),DecSunYear2+29,""))</f>
        <v>45284</v>
      </c>
      <c r="AV43" s="30">
        <f>IF(DAY(DecSunYear2)=1,IF(AND(YEAR(DecSunYear2+23)=CalendarYear+1,MONTH(DecSunYear2+23)=12),DecSunYear2+23,""),IF(AND(YEAR(DecSunYear2+30)=CalendarYear+1,MONTH(DecSunYear2+30)=12),DecSunYear2+30,""))</f>
        <v>45285</v>
      </c>
      <c r="AW43" s="30">
        <f>IF(DAY(DecSunYear2)=1,IF(AND(YEAR(DecSunYear2+24)=CalendarYear+1,MONTH(DecSunYear2+24)=12),DecSunYear2+24,""),IF(AND(YEAR(DecSunYear2+31)=CalendarYear+1,MONTH(DecSunYear2+31)=12),DecSunYear2+31,""))</f>
        <v>45286</v>
      </c>
      <c r="AX43" s="30">
        <f>IF(DAY(DecSunYear2)=1,IF(AND(YEAR(DecSunYear2+25)=CalendarYear+1,MONTH(DecSunYear2+25)=12),DecSunYear2+25,""),IF(AND(YEAR(DecSunYear2+32)=CalendarYear+1,MONTH(DecSunYear2+32)=12),DecSunYear2+32,""))</f>
        <v>45287</v>
      </c>
      <c r="AY43" s="30">
        <f>IF(DAY(DecSunYear2)=1,IF(AND(YEAR(DecSunYear2+26)=CalendarYear+1,MONTH(DecSunYear2+26)=12),DecSunYear2+26,""),IF(AND(YEAR(DecSunYear2+33)=CalendarYear+1,MONTH(DecSunYear2+33)=12),DecSunYear2+33,""))</f>
        <v>45288</v>
      </c>
      <c r="AZ43" s="30">
        <f>IF(DAY(DecSunYear2)=1,IF(AND(YEAR(DecSunYear2+27)=CalendarYear+1,MONTH(DecSunYear2+27)=12),DecSunYear2+27,""),IF(AND(YEAR(DecSunYear2+34)=CalendarYear+1,MONTH(DecSunYear2+34)=12),DecSunYear2+34,""))</f>
        <v>45289</v>
      </c>
      <c r="BA43" s="34">
        <f>IF(DAY(DecSunYear2)=1,IF(AND(YEAR(DecSunYear2+28)=CalendarYear+1,MONTH(DecSunYear2+28)=12),DecSunYear2+28,""),IF(AND(YEAR(DecSunYear2+35)=CalendarYear+1,MONTH(DecSunYear2+35)=12),DecSunYear2+35,""))</f>
        <v>45290</v>
      </c>
    </row>
    <row r="44" spans="3:53" x14ac:dyDescent="0.25">
      <c r="G44" s="31">
        <f>IF(DAY(JulSunYear2)=1,IF(AND(YEAR(JulSunYear2+29)=CalendarYear+1,MONTH(JulSunYear2+29)=7),JulSunYear2+29,""),IF(AND(YEAR(JulSunYear2+36)=CalendarYear+1,MONTH(JulSunYear2+36)=7),JulSunYear2+36,""))</f>
        <v>45137</v>
      </c>
      <c r="H44" s="30">
        <f>IF(DAY(JulSunYear2)=1,IF(AND(YEAR(JulSunYear2+30)=CalendarYear+1,MONTH(JulSunYear2+30)=7),JulSunYear2+30,""),IF(AND(YEAR(JulSunYear2+37)=CalendarYear+1,MONTH(JulSunYear2+37)=7),JulSunYear2+37,""))</f>
        <v>45138</v>
      </c>
      <c r="I44" s="30" t="str">
        <f>IF(DAY(JulSunYear2)=1,IF(AND(YEAR(JulSunYear2+31)=CalendarYear+1,MONTH(JulSunYear2+31)=7),JulSunYear2+31,""),IF(AND(YEAR(JulSunYear2+38)=CalendarYear+1,MONTH(JulSunYear2+38)=7),JulSunYear2+38,""))</f>
        <v/>
      </c>
      <c r="J44" s="30" t="str">
        <f>IF(DAY(JulSunYear2)=1,IF(AND(YEAR(JulSunYear2+32)=CalendarYear+1,MONTH(JulSunYear2+32)=7),JulSunYear2+32,""),IF(AND(YEAR(JulSunYear2+39)=CalendarYear+1,MONTH(JulSunYear2+39)=7),JulSunYear2+39,""))</f>
        <v/>
      </c>
      <c r="K44" s="30" t="str">
        <f>IF(DAY(JulSunYear2)=1,IF(AND(YEAR(JulSunYear2+33)=CalendarYear+1,MONTH(JulSunYear2+33)=7),JulSunYear2+33,""),IF(AND(YEAR(JulSunYear2+40)=CalendarYear+1,MONTH(JulSunYear2+40)=7),JulSunYear2+40,""))</f>
        <v/>
      </c>
      <c r="L44" s="30" t="str">
        <f>IF(DAY(JulSunYear2)=1,IF(AND(YEAR(JulSunYear2+34)=CalendarYear+1,MONTH(JulSunYear2+34)=7),JulSunYear2+34,""),IF(AND(YEAR(JulSunYear2+41)=CalendarYear+1,MONTH(JulSunYear2+41)=7),JulSunYear2+41,""))</f>
        <v/>
      </c>
      <c r="M44" s="30" t="str">
        <f>IF(DAY(JulSunYear2)=1,IF(AND(YEAR(JulSunYear2+35)=CalendarYear+1,MONTH(JulSunYear2+35)=7),JulSunYear2+35,""),IF(AND(YEAR(JulSunYear2+42)=CalendarYear+1,MONTH(JulSunYear2+42)=7),JulSunYear2+42,""))</f>
        <v/>
      </c>
      <c r="N44" s="8"/>
      <c r="O44" s="30" t="str">
        <f>IF(DAY(AugSunYear2)=1,IF(AND(YEAR(AugSunYear2+29)=CalendarYear+1,MONTH(AugSunYear2+29)=8),AugSunYear2+29,""),IF(AND(YEAR(AugSunYear2+36)=CalendarYear+1,MONTH(AugSunYear2+36)=8),AugSunYear2+36,""))</f>
        <v/>
      </c>
      <c r="P44" s="30" t="str">
        <f>IF(DAY(AugSunYear2)=1,IF(AND(YEAR(AugSunYear2+30)=CalendarYear+1,MONTH(AugSunYear2+30)=8),AugSunYear2+30,""),IF(AND(YEAR(AugSunYear2+37)=CalendarYear+1,MONTH(AugSunYear2+37)=8),AugSunYear2+37,""))</f>
        <v/>
      </c>
      <c r="Q44" s="30" t="str">
        <f>IF(DAY(AugSunYear2)=1,IF(AND(YEAR(AugSunYear2+31)=CalendarYear+1,MONTH(AugSunYear2+31)=8),AugSunYear2+31,""),IF(AND(YEAR(AugSunYear2+38)=CalendarYear+1,MONTH(AugSunYear2+38)=8),AugSunYear2+38,""))</f>
        <v/>
      </c>
      <c r="R44" s="30" t="str">
        <f>IF(DAY(AugSunYear2)=1,IF(AND(YEAR(AugSunYear2+32)=CalendarYear+1,MONTH(AugSunYear2+32)=8),AugSunYear2+32,""),IF(AND(YEAR(AugSunYear2+39)=CalendarYear+1,MONTH(AugSunYear2+39)=8),AugSunYear2+39,""))</f>
        <v/>
      </c>
      <c r="S44" s="30" t="str">
        <f>IF(DAY(AugSunYear2)=1,IF(AND(YEAR(AugSunYear2+33)=CalendarYear+1,MONTH(AugSunYear2+33)=8),AugSunYear2+33,""),IF(AND(YEAR(AugSunYear2+40)=CalendarYear+1,MONTH(AugSunYear2+40)=8),AugSunYear2+40,""))</f>
        <v/>
      </c>
      <c r="T44" s="30" t="str">
        <f>IF(DAY(AugSunYear2)=1,IF(AND(YEAR(AugSunYear2+34)=CalendarYear+1,MONTH(AugSunYear2+34)=8),AugSunYear2+34,""),IF(AND(YEAR(AugSunYear2+41)=CalendarYear+1,MONTH(AugSunYear2+41)=8),AugSunYear2+41,""))</f>
        <v/>
      </c>
      <c r="U44" s="30" t="str">
        <f>IF(DAY(AugSunYear2)=1,IF(AND(YEAR(AugSunYear2+35)=CalendarYear+1,MONTH(AugSunYear2+35)=8),AugSunYear2+35,""),IF(AND(YEAR(AugSunYear2+42)=CalendarYear+1,MONTH(AugSunYear2+42)=8),AugSunYear2+42,""))</f>
        <v/>
      </c>
      <c r="V44" s="4"/>
      <c r="W44" s="30" t="str">
        <f>IF(DAY(SepSunYear2)=1,IF(AND(YEAR(SepSunYear2+29)=CalendarYear+1,MONTH(SepSunYear2+29)=9),SepSunYear2+29,""),IF(AND(YEAR(SepSunYear2+36)=CalendarYear+1,MONTH(SepSunYear2+36)=9),SepSunYear2+36,""))</f>
        <v/>
      </c>
      <c r="X44" s="30" t="str">
        <f>IF(DAY(SepSunYear2)=1,IF(AND(YEAR(SepSunYear2+30)=CalendarYear+1,MONTH(SepSunYear2+30)=9),SepSunYear2+30,""),IF(AND(YEAR(SepSunYear2+37)=CalendarYear+1,MONTH(SepSunYear2+37)=9),SepSunYear2+37,""))</f>
        <v/>
      </c>
      <c r="Y44" s="30" t="str">
        <f>IF(DAY(SepSunYear2)=1,IF(AND(YEAR(SepSunYear2+31)=CalendarYear+1,MONTH(SepSunYear2+31)=9),SepSunYear2+31,""),IF(AND(YEAR(SepSunYear2+38)=CalendarYear+1,MONTH(SepSunYear2+38)=9),SepSunYear2+38,""))</f>
        <v/>
      </c>
      <c r="Z44" s="30" t="str">
        <f>IF(DAY(SepSunYear2)=1,IF(AND(YEAR(SepSunYear2+32)=CalendarYear+1,MONTH(SepSunYear2+32)=9),SepSunYear2+32,""),IF(AND(YEAR(SepSunYear2+39)=CalendarYear+1,MONTH(SepSunYear2+39)=9),SepSunYear2+39,""))</f>
        <v/>
      </c>
      <c r="AA44" s="30" t="str">
        <f>IF(DAY(SepSunYear2)=1,IF(AND(YEAR(SepSunYear2+33)=CalendarYear+1,MONTH(SepSunYear2+33)=9),SepSunYear2+33,""),IF(AND(YEAR(SepSunYear2+40)=CalendarYear+1,MONTH(SepSunYear2+40)=9),SepSunYear2+40,""))</f>
        <v/>
      </c>
      <c r="AB44" s="30" t="str">
        <f>IF(DAY(SepSunYear2)=1,IF(AND(YEAR(SepSunYear2+34)=CalendarYear+1,MONTH(SepSunYear2+34)=9),SepSunYear2+34,""),IF(AND(YEAR(SepSunYear2+41)=CalendarYear+1,MONTH(SepSunYear2+41)=9),SepSunYear2+41,""))</f>
        <v/>
      </c>
      <c r="AC44" s="30" t="str">
        <f>IF(DAY(SepSunYear2)=1,IF(AND(YEAR(SepSunYear2+35)=CalendarYear+1,MONTH(SepSunYear2+35)=9),SepSunYear2+35,""),IF(AND(YEAR(SepSunYear2+42)=CalendarYear+1,MONTH(SepSunYear2+42)=9),SepSunYear2+42,""))</f>
        <v/>
      </c>
      <c r="AD44" s="8"/>
      <c r="AE44" s="30" t="str">
        <f>IF(DAY(OctSunYear2)=1,IF(AND(YEAR(OctSunYear2+29)=CalendarYear+1,MONTH(OctSunYear2+29)=10),OctSunYear2+29,""),IF(AND(YEAR(OctSunYear2+36)=CalendarYear+1,MONTH(OctSunYear2+36)=10),OctSunYear2+36,""))</f>
        <v/>
      </c>
      <c r="AF44" s="30" t="str">
        <f>IF(DAY(OctSunYear2)=1,IF(AND(YEAR(OctSunYear2+30)=CalendarYear+1,MONTH(OctSunYear2+30)=10),OctSunYear2+30,""),IF(AND(YEAR(OctSunYear2+37)=CalendarYear+1,MONTH(OctSunYear2+37)=10),OctSunYear2+37,""))</f>
        <v/>
      </c>
      <c r="AG44" s="30" t="str">
        <f>IF(DAY(OctSunYear2)=1,IF(AND(YEAR(OctSunYear2+31)=CalendarYear+1,MONTH(OctSunYear2+31)=10),OctSunYear2+31,""),IF(AND(YEAR(OctSunYear2+38)=CalendarYear+1,MONTH(OctSunYear2+38)=10),OctSunYear2+38,""))</f>
        <v/>
      </c>
      <c r="AH44" s="30" t="str">
        <f>IF(DAY(OctSunYear2)=1,IF(AND(YEAR(OctSunYear2+32)=CalendarYear+1,MONTH(OctSunYear2+32)=10),OctSunYear2+32,""),IF(AND(YEAR(OctSunYear2+39)=CalendarYear+1,MONTH(OctSunYear2+39)=10),OctSunYear2+39,""))</f>
        <v/>
      </c>
      <c r="AI44" s="30" t="str">
        <f>IF(DAY(OctSunYear2)=1,IF(AND(YEAR(OctSunYear2+33)=CalendarYear+1,MONTH(OctSunYear2+33)=10),OctSunYear2+33,""),IF(AND(YEAR(OctSunYear2+40)=CalendarYear+1,MONTH(OctSunYear2+40)=10),OctSunYear2+40,""))</f>
        <v/>
      </c>
      <c r="AJ44" s="30" t="str">
        <f>IF(DAY(OctSunYear2)=1,IF(AND(YEAR(OctSunYear2+34)=CalendarYear+1,MONTH(OctSunYear2+34)=10),OctSunYear2+34,""),IF(AND(YEAR(OctSunYear2+41)=CalendarYear+1,MONTH(OctSunYear2+41)=10),OctSunYear2+41,""))</f>
        <v/>
      </c>
      <c r="AK44" s="30" t="str">
        <f>IF(DAY(OctSunYear2)=1,IF(AND(YEAR(OctSunYear2+35)=CalendarYear+1,MONTH(OctSunYear2+35)=10),OctSunYear2+35,""),IF(AND(YEAR(OctSunYear2+42)=CalendarYear+1,MONTH(OctSunYear2+42)=10),OctSunYear2+42,""))</f>
        <v/>
      </c>
      <c r="AL44" s="4"/>
      <c r="AM44" s="30" t="str">
        <f>IF(DAY(NovSunYear2)=1,IF(AND(YEAR(NovSunYear2+29)=CalendarYear+1,MONTH(NovSunYear2+29)=11),NovSunYear2+29,""),IF(AND(YEAR(NovSunYear2+36)=CalendarYear+1,MONTH(NovSunYear2+36)=11),NovSunYear2+36,""))</f>
        <v/>
      </c>
      <c r="AN44" s="30" t="str">
        <f>IF(DAY(NovSunYear2)=1,IF(AND(YEAR(NovSunYear2+30)=CalendarYear+1,MONTH(NovSunYear2+30)=11),NovSunYear2+30,""),IF(AND(YEAR(NovSunYear2+37)=CalendarYear+1,MONTH(NovSunYear2+37)=11),NovSunYear2+37,""))</f>
        <v/>
      </c>
      <c r="AO44" s="30" t="str">
        <f>IF(DAY(NovSunYear2)=1,IF(AND(YEAR(NovSunYear2+31)=CalendarYear+1,MONTH(NovSunYear2+31)=11),NovSunYear2+31,""),IF(AND(YEAR(NovSunYear2+38)=CalendarYear+1,MONTH(NovSunYear2+38)=11),NovSunYear2+38,""))</f>
        <v/>
      </c>
      <c r="AP44" s="30" t="str">
        <f>IF(DAY(NovSunYear2)=1,IF(AND(YEAR(NovSunYear2+32)=CalendarYear+1,MONTH(NovSunYear2+32)=11),NovSunYear2+32,""),IF(AND(YEAR(NovSunYear2+39)=CalendarYear+1,MONTH(NovSunYear2+39)=11),NovSunYear2+39,""))</f>
        <v/>
      </c>
      <c r="AQ44" s="30" t="str">
        <f>IF(DAY(NovSunYear2)=1,IF(AND(YEAR(NovSunYear2+33)=CalendarYear+1,MONTH(NovSunYear2+33)=11),NovSunYear2+33,""),IF(AND(YEAR(NovSunYear2+40)=CalendarYear+1,MONTH(NovSunYear2+40)=11),NovSunYear2+40,""))</f>
        <v/>
      </c>
      <c r="AR44" s="30" t="str">
        <f>IF(DAY(NovSunYear2)=1,IF(AND(YEAR(NovSunYear2+34)=CalendarYear+1,MONTH(NovSunYear2+34)=11),NovSunYear2+34,""),IF(AND(YEAR(NovSunYear2+41)=CalendarYear+1,MONTH(NovSunYear2+41)=11),NovSunYear2+41,""))</f>
        <v/>
      </c>
      <c r="AS44" s="30" t="str">
        <f>IF(DAY(NovSunYear2)=1,IF(AND(YEAR(NovSunYear2+35)=CalendarYear+1,MONTH(NovSunYear2+35)=11),NovSunYear2+35,""),IF(AND(YEAR(NovSunYear2+42)=CalendarYear+1,MONTH(NovSunYear2+42)=11),NovSunYear2+42,""))</f>
        <v/>
      </c>
      <c r="AT44" s="20"/>
      <c r="AU44" s="30">
        <f>IF(DAY(DecSunYear2)=1,IF(AND(YEAR(DecSunYear2+29)=CalendarYear+1,MONTH(DecSunYear2+29)=12),DecSunYear2+29,""),IF(AND(YEAR(DecSunYear2+36)=CalendarYear+1,MONTH(DecSunYear2+36)=12),DecSunYear2+36,""))</f>
        <v>45291</v>
      </c>
      <c r="AV44" s="30" t="str">
        <f>IF(DAY(DecSunYear2)=1,IF(AND(YEAR(DecSunYear2+30)=CalendarYear+1,MONTH(DecSunYear2+30)=12),DecSunYear2+30,""),IF(AND(YEAR(DecSunYear2+37)=CalendarYear+1,MONTH(DecSunYear2+37)=12),DecSunYear2+37,""))</f>
        <v/>
      </c>
      <c r="AW44" s="30" t="str">
        <f>IF(DAY(DecSunYear2)=1,IF(AND(YEAR(DecSunYear2+31)=CalendarYear+1,MONTH(DecSunYear2+31)=12),DecSunYear2+31,""),IF(AND(YEAR(DecSunYear2+38)=CalendarYear+1,MONTH(DecSunYear2+38)=12),DecSunYear2+38,""))</f>
        <v/>
      </c>
      <c r="AX44" s="30" t="str">
        <f>IF(DAY(DecSunYear2)=1,IF(AND(YEAR(DecSunYear2+32)=CalendarYear+1,MONTH(DecSunYear2+32)=12),DecSunYear2+32,""),IF(AND(YEAR(DecSunYear2+39)=CalendarYear+1,MONTH(DecSunYear2+39)=12),DecSunYear2+39,""))</f>
        <v/>
      </c>
      <c r="AY44" s="30" t="str">
        <f>IF(DAY(DecSunYear2)=1,IF(AND(YEAR(DecSunYear2+33)=CalendarYear+1,MONTH(DecSunYear2+33)=12),DecSunYear2+33,""),IF(AND(YEAR(DecSunYear2+40)=CalendarYear+1,MONTH(DecSunYear2+40)=12),DecSunYear2+40,""))</f>
        <v/>
      </c>
      <c r="AZ44" s="30" t="str">
        <f>IF(DAY(DecSunYear2)=1,IF(AND(YEAR(DecSunYear2+34)=CalendarYear+1,MONTH(DecSunYear2+34)=12),DecSunYear2+34,""),IF(AND(YEAR(DecSunYear2+41)=CalendarYear+1,MONTH(DecSunYear2+41)=12),DecSunYear2+41,""))</f>
        <v/>
      </c>
      <c r="BA44" s="34" t="str">
        <f>IF(DAY(DecSunYear2)=1,IF(AND(YEAR(DecSunYear2+35)=CalendarYear+1,MONTH(DecSunYear2+35)=12),DecSunYear2+35,""),IF(AND(YEAR(DecSunYear2+42)=CalendarYear+1,MONTH(DecSunYear2+42)=12),DecSunYear2+42,""))</f>
        <v/>
      </c>
    </row>
    <row r="45" spans="3:53" ht="15.75" thickBot="1" x14ac:dyDescent="0.3">
      <c r="G45" s="25"/>
      <c r="H45" s="26"/>
      <c r="I45" s="26"/>
      <c r="J45" s="26"/>
      <c r="K45" s="26"/>
      <c r="L45" s="26"/>
      <c r="M45" s="26"/>
      <c r="N45" s="26"/>
      <c r="O45" s="26"/>
      <c r="P45" s="26"/>
      <c r="Q45" s="26"/>
      <c r="R45" s="26"/>
      <c r="S45" s="26"/>
      <c r="T45" s="26"/>
      <c r="U45" s="26"/>
      <c r="V45" s="27"/>
      <c r="W45" s="26"/>
      <c r="X45" s="26"/>
      <c r="Y45" s="26"/>
      <c r="Z45" s="26"/>
      <c r="AA45" s="26"/>
      <c r="AB45" s="26"/>
      <c r="AC45" s="26"/>
      <c r="AD45" s="27"/>
      <c r="AE45" s="26"/>
      <c r="AF45" s="26"/>
      <c r="AG45" s="26"/>
      <c r="AH45" s="26"/>
      <c r="AI45" s="26"/>
      <c r="AJ45" s="26"/>
      <c r="AK45" s="26"/>
      <c r="AL45" s="27"/>
      <c r="AM45" s="26"/>
      <c r="AN45" s="26"/>
      <c r="AO45" s="26"/>
      <c r="AP45" s="26"/>
      <c r="AQ45" s="26"/>
      <c r="AR45" s="26"/>
      <c r="AS45" s="26"/>
      <c r="AT45" s="28"/>
      <c r="AU45" s="26"/>
      <c r="AV45" s="26"/>
      <c r="AW45" s="26"/>
      <c r="AX45" s="26"/>
      <c r="AY45" s="26"/>
      <c r="AZ45" s="26"/>
      <c r="BA45" s="29"/>
    </row>
    <row r="46" spans="3:53" x14ac:dyDescent="0.25"/>
  </sheetData>
  <sheetProtection sheet="1" objects="1" scenarios="1" formatColumns="0" selectLockedCells="1"/>
  <mergeCells count="30">
    <mergeCell ref="A2:BA2"/>
    <mergeCell ref="A3:BA3"/>
    <mergeCell ref="A5:BA5"/>
    <mergeCell ref="A6:BA6"/>
    <mergeCell ref="G8:BA8"/>
    <mergeCell ref="G9:M9"/>
    <mergeCell ref="G18:M18"/>
    <mergeCell ref="O18:U18"/>
    <mergeCell ref="G27:BA27"/>
    <mergeCell ref="W18:AC18"/>
    <mergeCell ref="AE18:AK18"/>
    <mergeCell ref="AM18:AS18"/>
    <mergeCell ref="AU18:BA18"/>
    <mergeCell ref="AM9:AS9"/>
    <mergeCell ref="AU9:BA9"/>
    <mergeCell ref="AE9:AK9"/>
    <mergeCell ref="W9:AC9"/>
    <mergeCell ref="O9:U9"/>
    <mergeCell ref="AM28:AS28"/>
    <mergeCell ref="AU28:BA28"/>
    <mergeCell ref="G37:M37"/>
    <mergeCell ref="O37:U37"/>
    <mergeCell ref="W37:AC37"/>
    <mergeCell ref="AE37:AK37"/>
    <mergeCell ref="AM37:AS37"/>
    <mergeCell ref="AU37:BA37"/>
    <mergeCell ref="G28:M28"/>
    <mergeCell ref="O28:U28"/>
    <mergeCell ref="W28:AC28"/>
    <mergeCell ref="AE28:AK28"/>
  </mergeCells>
  <conditionalFormatting sqref="H11:L16 P11:T16 X11:AB16 AF11:AJ16 AN11:AR16 AV11:AZ16 H20:L25 P20:T25 X20:AB25 AF20:AJ25 AN20:AR25 AV20:AZ25 H30:L35 P30:T35 X30:AB35 AF30:AJ35 AN30:AR35 AV30:AZ35 H39:L44 P39:T44 X39:AB44 AF39:AJ44 AN39:AR44 AV39:AZ44">
    <cfRule type="expression" dxfId="35" priority="38">
      <formula>AND($E$10=2,H11=$C$31, H11 &lt; $E$12)</formula>
    </cfRule>
    <cfRule type="expression" dxfId="34" priority="39">
      <formula>AND(H11=$C$31)</formula>
    </cfRule>
    <cfRule type="expression" dxfId="33" priority="40">
      <formula>AND($E$10=2,H11&gt;$C$30,H11&lt;=($C$31-1), H11 &lt; $E$12)</formula>
    </cfRule>
    <cfRule type="expression" dxfId="32" priority="41">
      <formula>AND(H11&gt;=$C$30,H11&lt;=($C$31-1))</formula>
    </cfRule>
    <cfRule type="expression" dxfId="31" priority="42">
      <formula>AND($E$10=2,H11&gt;$C$28,H11&lt;$C$29, H11&lt;=$E$12)</formula>
    </cfRule>
    <cfRule type="expression" dxfId="30" priority="43">
      <formula>AND(H11&gt;$C$28,H11&lt;=$C$30)</formula>
    </cfRule>
    <cfRule type="expression" dxfId="29" priority="44">
      <formula>AND($E$10=2,H11&gt;$C$27,H11&lt;=$C$28, H11&lt;=$E$12)</formula>
    </cfRule>
    <cfRule type="expression" dxfId="28" priority="45">
      <formula>AND(H11&gt;$C$27,H11&lt;=$C$28)</formula>
    </cfRule>
    <cfRule type="expression" dxfId="27" priority="46">
      <formula>AND($E$10=2,H11&gt;$C$26,H11&lt;=$C$27, H11 &lt; $E$12)</formula>
    </cfRule>
    <cfRule type="expression" dxfId="26" priority="47">
      <formula>AND(H11&gt;$C$26,H11&lt;=$C$27)</formula>
    </cfRule>
    <cfRule type="expression" dxfId="25" priority="48">
      <formula>AND($E$10=2,H11&gt;$C$25,H11&lt;=$C$26, H11 &lt; $E$12)</formula>
    </cfRule>
    <cfRule type="expression" dxfId="24" priority="49">
      <formula>AND(H11&gt;$C$25,H11&lt;=$C$26)</formula>
    </cfRule>
    <cfRule type="expression" dxfId="23" priority="50">
      <formula>AND($E$10=2,H11&gt;$C$24,H11&lt;=$C$25, H11 &lt; $E$12)</formula>
    </cfRule>
    <cfRule type="expression" dxfId="22" priority="51">
      <formula>AND(H11&gt;$C$24,H11&lt;=$C$25)</formula>
    </cfRule>
    <cfRule type="expression" dxfId="21" priority="52">
      <formula>AND($E$10=2,H11&gt;$C$23,H11&lt;=$C$24, H11 &lt; $E$12)</formula>
    </cfRule>
    <cfRule type="expression" dxfId="20" priority="53">
      <formula>AND(H11&gt;$C$23,H11&lt;=$C$24)</formula>
    </cfRule>
    <cfRule type="expression" dxfId="19" priority="54">
      <formula>AND($E$10=2,H11&gt;$C$22,H11&lt;=$C$23, H11 &lt; $E$12)</formula>
    </cfRule>
    <cfRule type="expression" dxfId="18" priority="55">
      <formula>AND(H11&gt;$C$22,H11&lt;=$C$23)</formula>
    </cfRule>
    <cfRule type="expression" dxfId="17" priority="56">
      <formula>AND($E$10=2,H11&gt;$C$21,H11&lt;=$C$22, H11 &lt; $E$12)</formula>
    </cfRule>
    <cfRule type="expression" dxfId="16" priority="58">
      <formula>AND(H11&gt;$C$21,H11&lt;=$C$22)</formula>
    </cfRule>
    <cfRule type="expression" dxfId="15" priority="59">
      <formula>AND($E$10=2,H11&gt;$C$19,H11&lt;=$C$21, H11 &lt; $E$12)</formula>
    </cfRule>
    <cfRule type="expression" dxfId="14" priority="60">
      <formula>AND(H11&gt;$C$19,H11&lt;=$C$21)</formula>
    </cfRule>
    <cfRule type="expression" dxfId="13" priority="61">
      <formula>AND($E$10=2,H11&gt;$C$18,H11&lt;=$C$19, H11 &lt; $E$12)</formula>
    </cfRule>
    <cfRule type="expression" dxfId="12" priority="62">
      <formula>AND(H11&gt;$C$18,H11&lt;=$C$19)</formula>
    </cfRule>
    <cfRule type="expression" dxfId="11" priority="63">
      <formula>AND($E$10=2,H11&gt;$C$17,H11&lt;$C$18, H11 &lt; $E$12)</formula>
    </cfRule>
    <cfRule type="expression" dxfId="10" priority="64">
      <formula>AND(H11&gt;$C$17,H11&lt;=$C$18)</formula>
    </cfRule>
    <cfRule type="expression" dxfId="9" priority="65">
      <formula>AND($E$10=2,H11&gt;$C$16,H11&lt;=$C$17, H11 &lt; $E$12)</formula>
    </cfRule>
    <cfRule type="expression" dxfId="8" priority="66">
      <formula>AND(H11&gt;$C$16,H11&lt;=$C$17)</formula>
    </cfRule>
    <cfRule type="expression" dxfId="7" priority="67">
      <formula>AND($E$10=2,H11&gt;$C$15,H11&lt;=$C$16, H11 &lt; $E$12)</formula>
    </cfRule>
    <cfRule type="expression" dxfId="6" priority="68">
      <formula>AND(H11&gt;$C$15,H11&lt;=$C$16)</formula>
    </cfRule>
    <cfRule type="expression" dxfId="5" priority="69">
      <formula>AND($E$10=2,H11&gt;$C$14,H11&lt;=$C$15, H11 &lt; $E$12)</formula>
    </cfRule>
    <cfRule type="expression" dxfId="4" priority="70">
      <formula>AND(H11&gt;$C$14,H11&lt;=$C$15)</formula>
    </cfRule>
    <cfRule type="expression" dxfId="3" priority="72">
      <formula>AND($E$10=2,H11&gt;=$C$13,H11&lt;=$C$14, H11 &lt; $E$12)</formula>
    </cfRule>
    <cfRule type="expression" dxfId="2" priority="73">
      <formula>AND(H11&gt;=$C$13,H11&lt;=$C$14)</formula>
    </cfRule>
  </conditionalFormatting>
  <dataValidations count="1">
    <dataValidation type="date" allowBlank="1" showInputMessage="1" showErrorMessage="1" sqref="C9" xr:uid="{00000000-0002-0000-0100-000000000000}">
      <formula1>42005</formula1>
      <formula2>54789</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Validation!$A$1:$A$2</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7"/>
  <sheetViews>
    <sheetView workbookViewId="0">
      <selection activeCell="B10" sqref="B10"/>
    </sheetView>
  </sheetViews>
  <sheetFormatPr defaultRowHeight="15" x14ac:dyDescent="0.25"/>
  <cols>
    <col min="1" max="1" width="49.42578125" bestFit="1" customWidth="1"/>
    <col min="2" max="2" width="25.28515625" bestFit="1" customWidth="1"/>
    <col min="11" max="11" width="10.7109375" bestFit="1" customWidth="1"/>
  </cols>
  <sheetData>
    <row r="1" spans="1:11" x14ac:dyDescent="0.25">
      <c r="A1" t="s">
        <v>0</v>
      </c>
      <c r="B1" t="s">
        <v>38</v>
      </c>
    </row>
    <row r="2" spans="1:11" x14ac:dyDescent="0.25">
      <c r="A2" t="s">
        <v>42</v>
      </c>
      <c r="B2">
        <f>SUM(B3:B16)</f>
        <v>261</v>
      </c>
    </row>
    <row r="3" spans="1:11" x14ac:dyDescent="0.25">
      <c r="A3" t="s">
        <v>1</v>
      </c>
      <c r="B3">
        <v>25</v>
      </c>
    </row>
    <row r="4" spans="1:11" x14ac:dyDescent="0.25">
      <c r="A4" t="s">
        <v>2</v>
      </c>
      <c r="B4">
        <v>5</v>
      </c>
    </row>
    <row r="5" spans="1:11" x14ac:dyDescent="0.25">
      <c r="A5" t="s">
        <v>3</v>
      </c>
      <c r="B5">
        <v>15</v>
      </c>
    </row>
    <row r="6" spans="1:11" x14ac:dyDescent="0.25">
      <c r="A6" t="s">
        <v>4</v>
      </c>
      <c r="B6">
        <v>50</v>
      </c>
    </row>
    <row r="7" spans="1:11" x14ac:dyDescent="0.25">
      <c r="A7" t="s">
        <v>5</v>
      </c>
      <c r="B7">
        <v>50</v>
      </c>
    </row>
    <row r="8" spans="1:11" x14ac:dyDescent="0.25">
      <c r="A8" t="s">
        <v>8</v>
      </c>
      <c r="B8">
        <v>5</v>
      </c>
    </row>
    <row r="9" spans="1:11" x14ac:dyDescent="0.25">
      <c r="A9" t="s">
        <v>6</v>
      </c>
      <c r="B9">
        <v>30</v>
      </c>
    </row>
    <row r="10" spans="1:11" x14ac:dyDescent="0.25">
      <c r="A10" t="s">
        <v>9</v>
      </c>
      <c r="B10">
        <v>5</v>
      </c>
    </row>
    <row r="11" spans="1:11" x14ac:dyDescent="0.25">
      <c r="A11" t="s">
        <v>10</v>
      </c>
      <c r="B11">
        <v>30</v>
      </c>
    </row>
    <row r="12" spans="1:11" x14ac:dyDescent="0.25">
      <c r="A12" t="s">
        <v>12</v>
      </c>
      <c r="B12">
        <v>3</v>
      </c>
    </row>
    <row r="13" spans="1:11" x14ac:dyDescent="0.25">
      <c r="A13" t="s">
        <v>13</v>
      </c>
      <c r="B13">
        <v>3</v>
      </c>
    </row>
    <row r="14" spans="1:11" x14ac:dyDescent="0.25">
      <c r="A14" t="s">
        <v>14</v>
      </c>
      <c r="B14">
        <v>5</v>
      </c>
    </row>
    <row r="15" spans="1:11" x14ac:dyDescent="0.25">
      <c r="A15" t="s">
        <v>15</v>
      </c>
      <c r="B15">
        <v>10</v>
      </c>
      <c r="K15" s="1"/>
    </row>
    <row r="16" spans="1:11" x14ac:dyDescent="0.25">
      <c r="A16" t="s">
        <v>16</v>
      </c>
      <c r="B16">
        <v>25</v>
      </c>
    </row>
    <row r="17" spans="11:11" x14ac:dyDescent="0.25">
      <c r="K17"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5"/>
  <sheetViews>
    <sheetView topLeftCell="H1" workbookViewId="0">
      <selection activeCell="M10" sqref="M10"/>
    </sheetView>
  </sheetViews>
  <sheetFormatPr defaultRowHeight="15" x14ac:dyDescent="0.25"/>
  <cols>
    <col min="1" max="1" width="5" bestFit="1" customWidth="1"/>
    <col min="2" max="2" width="24.7109375" bestFit="1" customWidth="1"/>
    <col min="3" max="3" width="29.5703125" bestFit="1" customWidth="1"/>
    <col min="4" max="4" width="23.7109375" bestFit="1" customWidth="1"/>
    <col min="5" max="5" width="19.7109375" bestFit="1" customWidth="1"/>
    <col min="6" max="6" width="21.28515625" bestFit="1" customWidth="1"/>
    <col min="7" max="7" width="24.28515625" bestFit="1" customWidth="1"/>
    <col min="8" max="8" width="28" bestFit="1" customWidth="1"/>
    <col min="9" max="9" width="25.85546875" bestFit="1" customWidth="1"/>
    <col min="10" max="10" width="28.140625" bestFit="1" customWidth="1"/>
    <col min="11" max="11" width="27.7109375" bestFit="1" customWidth="1"/>
    <col min="12" max="12" width="23" bestFit="1" customWidth="1"/>
    <col min="13" max="13" width="25.28515625" bestFit="1" customWidth="1"/>
    <col min="14" max="23" width="10.7109375" bestFit="1" customWidth="1"/>
    <col min="24" max="24" width="24.7109375" bestFit="1" customWidth="1"/>
    <col min="25" max="36" width="10.7109375" bestFit="1" customWidth="1"/>
  </cols>
  <sheetData>
    <row r="1" spans="1:24" x14ac:dyDescent="0.25">
      <c r="B1" t="s">
        <v>41</v>
      </c>
      <c r="C1" s="111"/>
      <c r="D1" s="111"/>
      <c r="E1" s="111"/>
      <c r="F1" s="111"/>
      <c r="G1" s="111"/>
      <c r="H1" s="111"/>
      <c r="I1" s="111"/>
      <c r="J1" s="111"/>
      <c r="K1" s="111"/>
      <c r="L1" s="111"/>
    </row>
    <row r="2" spans="1:24" x14ac:dyDescent="0.25">
      <c r="A2" t="s">
        <v>28</v>
      </c>
      <c r="B2" t="s">
        <v>37</v>
      </c>
      <c r="C2" t="s">
        <v>29</v>
      </c>
      <c r="D2" t="s">
        <v>30</v>
      </c>
      <c r="E2" t="s">
        <v>31</v>
      </c>
      <c r="F2" t="s">
        <v>32</v>
      </c>
      <c r="G2" t="s">
        <v>33</v>
      </c>
      <c r="H2" t="s">
        <v>34</v>
      </c>
      <c r="I2" t="s">
        <v>35</v>
      </c>
      <c r="J2" t="s">
        <v>40</v>
      </c>
      <c r="K2" t="s">
        <v>36</v>
      </c>
      <c r="L2" t="s">
        <v>83</v>
      </c>
    </row>
    <row r="3" spans="1:24" x14ac:dyDescent="0.25">
      <c r="A3">
        <v>2018</v>
      </c>
      <c r="B3" s="70">
        <f>IF(TEXT(DATE(A3,1,1),"DDD")="Sun",DATE(A3,1,1)+1,IF(TEXT(DATE(A3,1,1),"DDD")="Sat",DATE(A3,1,1)-1,DATE(A3,1,1)))</f>
        <v>43101</v>
      </c>
      <c r="C3" s="70">
        <f t="shared" ref="C3:C35" si="0">DATE(A3,1,1)+14+CHOOSE(WEEKDAY(DATE(A3,1,1)),1,0,6,5,4,3,2)</f>
        <v>43115</v>
      </c>
      <c r="D3" s="70">
        <f t="shared" ref="D3:D35" si="1">DATE(A3,2,1)+14+CHOOSE(WEEKDAY(DATE(A3,2,1)),1,0,6,5,4,3,2)</f>
        <v>43150</v>
      </c>
      <c r="E3" s="70">
        <f t="shared" ref="E3:E35" si="2">DATE(A3,6,1)-WEEKDAY(DATE(A3,6,6))</f>
        <v>43248</v>
      </c>
      <c r="F3" s="70">
        <f>IF(TEXT(DATE(A3,7,4),"DDD")="Sun",DATE(A3,7,4)+1,IF(TEXT(DATE(A3,7,4),"DDD")="Sat",DATE(A3,7,4)-1,DATE(A3,7,4)))</f>
        <v>43285</v>
      </c>
      <c r="G3" s="70">
        <f t="shared" ref="G3:G35" si="3">DATE(A3,9,1)+CHOOSE(WEEKDAY(DATE(A3,9,1)),1,0,6,5,4,3,2)</f>
        <v>43346</v>
      </c>
      <c r="H3" s="70">
        <f>IF(TEXT(DATE(A3,11,11),"DDD")="Sun",DATE(A3,11,11)+1,IF(TEXT(DATE(A3,11,11),"DDD")="Sat",DATE(A3,11,11)-1,DATE(A3,11,11)))</f>
        <v>43416</v>
      </c>
      <c r="I3" s="70">
        <f t="shared" ref="I3:I35" si="4">DATE(A3,11,1)+21+CHOOSE(WEEKDAY(DATE(A3,11,1)),4,3,2,1,0,6,5)</f>
        <v>43426</v>
      </c>
      <c r="J3" s="70">
        <f>I3+1</f>
        <v>43427</v>
      </c>
      <c r="K3" s="70">
        <f>IF(TEXT(DATE(A3,12,25),"DDD")="Sun",DATE(A3,12,25)+1,IF(TEXT(DATE(A3,12,25),"DDD")="Sat",DATE(A3,12,25)-1,DATE(A3,12,25)))</f>
        <v>43459</v>
      </c>
      <c r="L3" s="70"/>
      <c r="M3" s="70"/>
      <c r="X3" s="70"/>
    </row>
    <row r="4" spans="1:24" x14ac:dyDescent="0.25">
      <c r="A4" s="2">
        <v>2019</v>
      </c>
      <c r="B4" s="70">
        <f t="shared" ref="B4:B35" si="5">IF(TEXT(DATE(A4,1,1),"DDD")="Sun",DATE(A4,1,1)+1,IF(TEXT(DATE(A4,1,1),"DDD")="Sat",DATE(A4,1,1)-1,DATE(A4,1,1)))</f>
        <v>43466</v>
      </c>
      <c r="C4" s="70">
        <f t="shared" si="0"/>
        <v>43486</v>
      </c>
      <c r="D4" s="70">
        <f t="shared" si="1"/>
        <v>43514</v>
      </c>
      <c r="E4" s="70">
        <f t="shared" si="2"/>
        <v>43612</v>
      </c>
      <c r="F4" s="70">
        <f t="shared" ref="F4:F35" si="6">IF(TEXT(DATE(A4,7,4),"DDD")="Sun",DATE(A4,7,4)+1,IF(TEXT(DATE(A4,7,4),"DDD")="Sat",DATE(A4,7,4)-1,DATE(A4,7,4)))</f>
        <v>43650</v>
      </c>
      <c r="G4" s="70">
        <f t="shared" si="3"/>
        <v>43710</v>
      </c>
      <c r="H4" s="70">
        <f t="shared" ref="H4:H35" si="7">IF(TEXT(DATE(A4,11,11),"DDD")="Sun",DATE(A4,11,11)+1,IF(TEXT(DATE(A4,11,11),"DDD")="Sat",DATE(A4,11,11)-1,DATE(A4,11,11)))</f>
        <v>43780</v>
      </c>
      <c r="I4" s="70">
        <f t="shared" si="4"/>
        <v>43797</v>
      </c>
      <c r="J4" s="70">
        <f t="shared" ref="J4:J35" si="8">I4+1</f>
        <v>43798</v>
      </c>
      <c r="K4" s="70">
        <f t="shared" ref="K4:K35" si="9">IF(TEXT(DATE(A4,12,25),"DDD")="Sun",DATE(A4,12,25)+1,IF(TEXT(DATE(A4,12,25),"DDD")="Sat",DATE(A4,12,25)-1,DATE(A4,12,25)))</f>
        <v>43824</v>
      </c>
      <c r="L4" s="70"/>
      <c r="M4" s="70"/>
      <c r="X4" s="70"/>
    </row>
    <row r="5" spans="1:24" x14ac:dyDescent="0.25">
      <c r="A5">
        <v>2020</v>
      </c>
      <c r="B5" s="70">
        <f t="shared" si="5"/>
        <v>43831</v>
      </c>
      <c r="C5" s="70">
        <f t="shared" si="0"/>
        <v>43850</v>
      </c>
      <c r="D5" s="70">
        <f t="shared" si="1"/>
        <v>43878</v>
      </c>
      <c r="E5" s="70">
        <f t="shared" si="2"/>
        <v>43976</v>
      </c>
      <c r="F5" s="70">
        <f t="shared" si="6"/>
        <v>44015</v>
      </c>
      <c r="G5" s="70">
        <f t="shared" si="3"/>
        <v>44081</v>
      </c>
      <c r="H5" s="70">
        <f t="shared" si="7"/>
        <v>44146</v>
      </c>
      <c r="I5" s="70">
        <f t="shared" si="4"/>
        <v>44161</v>
      </c>
      <c r="J5" s="70">
        <f t="shared" si="8"/>
        <v>44162</v>
      </c>
      <c r="K5" s="70">
        <f t="shared" si="9"/>
        <v>44190</v>
      </c>
      <c r="L5" s="70"/>
      <c r="M5" s="70"/>
      <c r="X5" s="70"/>
    </row>
    <row r="6" spans="1:24" x14ac:dyDescent="0.25">
      <c r="A6" s="2">
        <v>2021</v>
      </c>
      <c r="B6" s="70">
        <f t="shared" si="5"/>
        <v>44197</v>
      </c>
      <c r="C6" s="70">
        <f t="shared" si="0"/>
        <v>44214</v>
      </c>
      <c r="D6" s="70">
        <f t="shared" si="1"/>
        <v>44242</v>
      </c>
      <c r="E6" s="70">
        <f t="shared" si="2"/>
        <v>44347</v>
      </c>
      <c r="F6" s="70">
        <f t="shared" si="6"/>
        <v>44382</v>
      </c>
      <c r="G6" s="70">
        <f t="shared" si="3"/>
        <v>44445</v>
      </c>
      <c r="H6" s="70">
        <f t="shared" si="7"/>
        <v>44511</v>
      </c>
      <c r="I6" s="70">
        <f t="shared" si="4"/>
        <v>44525</v>
      </c>
      <c r="J6" s="70">
        <f t="shared" si="8"/>
        <v>44526</v>
      </c>
      <c r="K6" s="70">
        <f t="shared" si="9"/>
        <v>44554</v>
      </c>
      <c r="L6" s="70"/>
      <c r="M6" s="70"/>
      <c r="X6" s="70"/>
    </row>
    <row r="7" spans="1:24" x14ac:dyDescent="0.25">
      <c r="A7">
        <v>2022</v>
      </c>
      <c r="B7" s="70">
        <f t="shared" si="5"/>
        <v>44561</v>
      </c>
      <c r="C7" s="70">
        <f t="shared" si="0"/>
        <v>44578</v>
      </c>
      <c r="D7" s="70">
        <f t="shared" si="1"/>
        <v>44613</v>
      </c>
      <c r="E7" s="70">
        <f t="shared" si="2"/>
        <v>44711</v>
      </c>
      <c r="F7" s="70">
        <f t="shared" si="6"/>
        <v>44746</v>
      </c>
      <c r="G7" s="70">
        <f t="shared" si="3"/>
        <v>44809</v>
      </c>
      <c r="H7" s="70">
        <f t="shared" si="7"/>
        <v>44876</v>
      </c>
      <c r="I7" s="70">
        <f t="shared" si="4"/>
        <v>44889</v>
      </c>
      <c r="J7" s="70">
        <f t="shared" si="8"/>
        <v>44890</v>
      </c>
      <c r="K7" s="70">
        <f t="shared" si="9"/>
        <v>44921</v>
      </c>
      <c r="L7" s="70">
        <f t="shared" ref="L7:L35" si="10">IF(TEXT(DATE(A7,6,19),"DDD")="Sun",DATE(A7,6,19)+1,IF(TEXT(DATE(A7,6,19),"DDD")="Sat",DATE(A7,6,19)-1,DATE(A7,6,19)))</f>
        <v>44732</v>
      </c>
      <c r="M7" s="70"/>
      <c r="X7" s="70"/>
    </row>
    <row r="8" spans="1:24" x14ac:dyDescent="0.25">
      <c r="A8" s="2">
        <v>2023</v>
      </c>
      <c r="B8" s="70">
        <f t="shared" si="5"/>
        <v>44928</v>
      </c>
      <c r="C8" s="70">
        <f t="shared" si="0"/>
        <v>44942</v>
      </c>
      <c r="D8" s="70">
        <f t="shared" si="1"/>
        <v>44977</v>
      </c>
      <c r="E8" s="70">
        <f t="shared" si="2"/>
        <v>45075</v>
      </c>
      <c r="F8" s="70">
        <f t="shared" si="6"/>
        <v>45111</v>
      </c>
      <c r="G8" s="70">
        <f t="shared" si="3"/>
        <v>45173</v>
      </c>
      <c r="H8" s="70">
        <f t="shared" si="7"/>
        <v>45240</v>
      </c>
      <c r="I8" s="70">
        <f t="shared" si="4"/>
        <v>45253</v>
      </c>
      <c r="J8" s="70">
        <f t="shared" si="8"/>
        <v>45254</v>
      </c>
      <c r="K8" s="70">
        <f t="shared" si="9"/>
        <v>45285</v>
      </c>
      <c r="L8" s="70">
        <f t="shared" si="10"/>
        <v>45096</v>
      </c>
      <c r="M8" s="70"/>
      <c r="X8" s="70"/>
    </row>
    <row r="9" spans="1:24" x14ac:dyDescent="0.25">
      <c r="A9">
        <v>2024</v>
      </c>
      <c r="B9" s="70">
        <f t="shared" si="5"/>
        <v>45292</v>
      </c>
      <c r="C9" s="70">
        <f t="shared" si="0"/>
        <v>45306</v>
      </c>
      <c r="D9" s="70">
        <f t="shared" si="1"/>
        <v>45341</v>
      </c>
      <c r="E9" s="70">
        <f t="shared" si="2"/>
        <v>45439</v>
      </c>
      <c r="F9" s="70">
        <f t="shared" si="6"/>
        <v>45477</v>
      </c>
      <c r="G9" s="70">
        <f t="shared" si="3"/>
        <v>45537</v>
      </c>
      <c r="H9" s="70">
        <f t="shared" si="7"/>
        <v>45607</v>
      </c>
      <c r="I9" s="70">
        <f t="shared" si="4"/>
        <v>45624</v>
      </c>
      <c r="J9" s="70">
        <f t="shared" si="8"/>
        <v>45625</v>
      </c>
      <c r="K9" s="70">
        <f t="shared" si="9"/>
        <v>45651</v>
      </c>
      <c r="L9" s="70">
        <f t="shared" si="10"/>
        <v>45462</v>
      </c>
      <c r="M9" s="70"/>
      <c r="X9" s="70"/>
    </row>
    <row r="10" spans="1:24" x14ac:dyDescent="0.25">
      <c r="A10" s="2">
        <v>2025</v>
      </c>
      <c r="B10" s="70">
        <f t="shared" si="5"/>
        <v>45658</v>
      </c>
      <c r="C10" s="70">
        <f t="shared" si="0"/>
        <v>45677</v>
      </c>
      <c r="D10" s="70">
        <f t="shared" si="1"/>
        <v>45705</v>
      </c>
      <c r="E10" s="70">
        <f t="shared" si="2"/>
        <v>45803</v>
      </c>
      <c r="F10" s="70">
        <f t="shared" si="6"/>
        <v>45842</v>
      </c>
      <c r="G10" s="70">
        <f t="shared" si="3"/>
        <v>45901</v>
      </c>
      <c r="H10" s="70">
        <f t="shared" si="7"/>
        <v>45972</v>
      </c>
      <c r="I10" s="70">
        <f t="shared" si="4"/>
        <v>45988</v>
      </c>
      <c r="J10" s="70">
        <f t="shared" si="8"/>
        <v>45989</v>
      </c>
      <c r="K10" s="70">
        <f t="shared" si="9"/>
        <v>46016</v>
      </c>
      <c r="L10" s="70">
        <f t="shared" si="10"/>
        <v>45827</v>
      </c>
      <c r="M10" s="70"/>
      <c r="X10" s="70"/>
    </row>
    <row r="11" spans="1:24" x14ac:dyDescent="0.25">
      <c r="A11">
        <v>2026</v>
      </c>
      <c r="B11" s="70">
        <f t="shared" si="5"/>
        <v>46023</v>
      </c>
      <c r="C11" s="70">
        <f t="shared" si="0"/>
        <v>46041</v>
      </c>
      <c r="D11" s="70">
        <f t="shared" si="1"/>
        <v>46069</v>
      </c>
      <c r="E11" s="70">
        <f t="shared" si="2"/>
        <v>46167</v>
      </c>
      <c r="F11" s="70">
        <f t="shared" si="6"/>
        <v>46206</v>
      </c>
      <c r="G11" s="70">
        <f t="shared" si="3"/>
        <v>46272</v>
      </c>
      <c r="H11" s="70">
        <f t="shared" si="7"/>
        <v>46337</v>
      </c>
      <c r="I11" s="70">
        <f t="shared" si="4"/>
        <v>46352</v>
      </c>
      <c r="J11" s="70">
        <f t="shared" si="8"/>
        <v>46353</v>
      </c>
      <c r="K11" s="70">
        <f t="shared" si="9"/>
        <v>46381</v>
      </c>
      <c r="L11" s="70">
        <f t="shared" si="10"/>
        <v>46192</v>
      </c>
      <c r="M11" s="70"/>
      <c r="X11" s="70"/>
    </row>
    <row r="12" spans="1:24" x14ac:dyDescent="0.25">
      <c r="A12" s="2">
        <v>2027</v>
      </c>
      <c r="B12" s="70">
        <f t="shared" si="5"/>
        <v>46388</v>
      </c>
      <c r="C12" s="70">
        <f t="shared" si="0"/>
        <v>46405</v>
      </c>
      <c r="D12" s="70">
        <f t="shared" si="1"/>
        <v>46433</v>
      </c>
      <c r="E12" s="70">
        <f t="shared" si="2"/>
        <v>46538</v>
      </c>
      <c r="F12" s="70">
        <f t="shared" si="6"/>
        <v>46573</v>
      </c>
      <c r="G12" s="70">
        <f t="shared" si="3"/>
        <v>46636</v>
      </c>
      <c r="H12" s="70">
        <f t="shared" si="7"/>
        <v>46702</v>
      </c>
      <c r="I12" s="70">
        <f t="shared" si="4"/>
        <v>46716</v>
      </c>
      <c r="J12" s="70">
        <f t="shared" si="8"/>
        <v>46717</v>
      </c>
      <c r="K12" s="70">
        <f t="shared" si="9"/>
        <v>46745</v>
      </c>
      <c r="L12" s="70">
        <f t="shared" si="10"/>
        <v>46556</v>
      </c>
      <c r="M12" s="70"/>
      <c r="X12" s="70"/>
    </row>
    <row r="13" spans="1:24" x14ac:dyDescent="0.25">
      <c r="A13">
        <v>2028</v>
      </c>
      <c r="B13" s="70">
        <f t="shared" si="5"/>
        <v>46752</v>
      </c>
      <c r="C13" s="70">
        <f t="shared" si="0"/>
        <v>46769</v>
      </c>
      <c r="D13" s="70">
        <f t="shared" si="1"/>
        <v>46804</v>
      </c>
      <c r="E13" s="70">
        <f t="shared" si="2"/>
        <v>46902</v>
      </c>
      <c r="F13" s="70">
        <f t="shared" si="6"/>
        <v>46938</v>
      </c>
      <c r="G13" s="70">
        <f t="shared" si="3"/>
        <v>47000</v>
      </c>
      <c r="H13" s="70">
        <f t="shared" si="7"/>
        <v>47067</v>
      </c>
      <c r="I13" s="70">
        <f t="shared" si="4"/>
        <v>47080</v>
      </c>
      <c r="J13" s="70">
        <f t="shared" si="8"/>
        <v>47081</v>
      </c>
      <c r="K13" s="70">
        <f t="shared" si="9"/>
        <v>47112</v>
      </c>
      <c r="L13" s="70">
        <f t="shared" si="10"/>
        <v>46923</v>
      </c>
      <c r="M13" s="70"/>
      <c r="X13" s="70"/>
    </row>
    <row r="14" spans="1:24" x14ac:dyDescent="0.25">
      <c r="A14" s="2">
        <v>2029</v>
      </c>
      <c r="B14" s="70">
        <f t="shared" si="5"/>
        <v>47119</v>
      </c>
      <c r="C14" s="70">
        <f t="shared" si="0"/>
        <v>47133</v>
      </c>
      <c r="D14" s="70">
        <f t="shared" si="1"/>
        <v>47168</v>
      </c>
      <c r="E14" s="70">
        <f t="shared" si="2"/>
        <v>47266</v>
      </c>
      <c r="F14" s="70">
        <f t="shared" si="6"/>
        <v>47303</v>
      </c>
      <c r="G14" s="70">
        <f t="shared" si="3"/>
        <v>47364</v>
      </c>
      <c r="H14" s="70">
        <f t="shared" si="7"/>
        <v>47434</v>
      </c>
      <c r="I14" s="70">
        <f t="shared" si="4"/>
        <v>47444</v>
      </c>
      <c r="J14" s="70">
        <f t="shared" si="8"/>
        <v>47445</v>
      </c>
      <c r="K14" s="70">
        <f t="shared" si="9"/>
        <v>47477</v>
      </c>
      <c r="L14" s="70">
        <f t="shared" si="10"/>
        <v>47288</v>
      </c>
      <c r="M14" s="70"/>
      <c r="X14" s="70"/>
    </row>
    <row r="15" spans="1:24" x14ac:dyDescent="0.25">
      <c r="A15">
        <v>2030</v>
      </c>
      <c r="B15" s="70">
        <f t="shared" si="5"/>
        <v>47484</v>
      </c>
      <c r="C15" s="70">
        <f t="shared" si="0"/>
        <v>47504</v>
      </c>
      <c r="D15" s="70">
        <f t="shared" si="1"/>
        <v>47532</v>
      </c>
      <c r="E15" s="70">
        <f t="shared" si="2"/>
        <v>47630</v>
      </c>
      <c r="F15" s="70">
        <f t="shared" si="6"/>
        <v>47668</v>
      </c>
      <c r="G15" s="70">
        <f t="shared" si="3"/>
        <v>47728</v>
      </c>
      <c r="H15" s="70">
        <f t="shared" si="7"/>
        <v>47798</v>
      </c>
      <c r="I15" s="70">
        <f t="shared" si="4"/>
        <v>47815</v>
      </c>
      <c r="J15" s="70">
        <f t="shared" si="8"/>
        <v>47816</v>
      </c>
      <c r="K15" s="70">
        <f t="shared" si="9"/>
        <v>47842</v>
      </c>
      <c r="L15" s="70">
        <f t="shared" si="10"/>
        <v>47653</v>
      </c>
      <c r="M15" s="70"/>
      <c r="X15" s="70"/>
    </row>
    <row r="16" spans="1:24" x14ac:dyDescent="0.25">
      <c r="A16" s="2">
        <v>2031</v>
      </c>
      <c r="B16" s="70">
        <f t="shared" si="5"/>
        <v>47849</v>
      </c>
      <c r="C16" s="70">
        <f t="shared" si="0"/>
        <v>47868</v>
      </c>
      <c r="D16" s="70">
        <f t="shared" si="1"/>
        <v>47896</v>
      </c>
      <c r="E16" s="70">
        <f t="shared" si="2"/>
        <v>47994</v>
      </c>
      <c r="F16" s="70">
        <f t="shared" si="6"/>
        <v>48033</v>
      </c>
      <c r="G16" s="70">
        <f t="shared" si="3"/>
        <v>48092</v>
      </c>
      <c r="H16" s="70">
        <f t="shared" si="7"/>
        <v>48163</v>
      </c>
      <c r="I16" s="70">
        <f t="shared" si="4"/>
        <v>48179</v>
      </c>
      <c r="J16" s="70">
        <f t="shared" si="8"/>
        <v>48180</v>
      </c>
      <c r="K16" s="70">
        <f t="shared" si="9"/>
        <v>48207</v>
      </c>
      <c r="L16" s="70">
        <f t="shared" si="10"/>
        <v>48018</v>
      </c>
      <c r="M16" s="70"/>
      <c r="X16" s="70"/>
    </row>
    <row r="17" spans="1:24" x14ac:dyDescent="0.25">
      <c r="A17">
        <v>2032</v>
      </c>
      <c r="B17" s="70">
        <f t="shared" si="5"/>
        <v>48214</v>
      </c>
      <c r="C17" s="70">
        <f t="shared" si="0"/>
        <v>48232</v>
      </c>
      <c r="D17" s="70">
        <f t="shared" si="1"/>
        <v>48260</v>
      </c>
      <c r="E17" s="70">
        <f t="shared" si="2"/>
        <v>48365</v>
      </c>
      <c r="F17" s="70">
        <f t="shared" si="6"/>
        <v>48400</v>
      </c>
      <c r="G17" s="70">
        <f t="shared" si="3"/>
        <v>48463</v>
      </c>
      <c r="H17" s="70">
        <f t="shared" si="7"/>
        <v>48529</v>
      </c>
      <c r="I17" s="70">
        <f t="shared" si="4"/>
        <v>48543</v>
      </c>
      <c r="J17" s="70">
        <f t="shared" si="8"/>
        <v>48544</v>
      </c>
      <c r="K17" s="70">
        <f t="shared" si="9"/>
        <v>48572</v>
      </c>
      <c r="L17" s="70">
        <f t="shared" si="10"/>
        <v>48383</v>
      </c>
      <c r="M17" s="70"/>
      <c r="X17" s="70"/>
    </row>
    <row r="18" spans="1:24" x14ac:dyDescent="0.25">
      <c r="A18" s="2">
        <v>2033</v>
      </c>
      <c r="B18" s="70">
        <f t="shared" si="5"/>
        <v>48579</v>
      </c>
      <c r="C18" s="70">
        <f t="shared" si="0"/>
        <v>48596</v>
      </c>
      <c r="D18" s="70">
        <f t="shared" si="1"/>
        <v>48631</v>
      </c>
      <c r="E18" s="70">
        <f t="shared" si="2"/>
        <v>48729</v>
      </c>
      <c r="F18" s="70">
        <f t="shared" si="6"/>
        <v>48764</v>
      </c>
      <c r="G18" s="70">
        <f t="shared" si="3"/>
        <v>48827</v>
      </c>
      <c r="H18" s="70">
        <f t="shared" si="7"/>
        <v>48894</v>
      </c>
      <c r="I18" s="70">
        <f t="shared" si="4"/>
        <v>48907</v>
      </c>
      <c r="J18" s="70">
        <f t="shared" si="8"/>
        <v>48908</v>
      </c>
      <c r="K18" s="70">
        <f t="shared" si="9"/>
        <v>48939</v>
      </c>
      <c r="L18" s="70">
        <f t="shared" si="10"/>
        <v>48750</v>
      </c>
      <c r="M18" s="70"/>
      <c r="X18" s="70"/>
    </row>
    <row r="19" spans="1:24" x14ac:dyDescent="0.25">
      <c r="A19">
        <v>2034</v>
      </c>
      <c r="B19" s="70">
        <f t="shared" si="5"/>
        <v>48946</v>
      </c>
      <c r="C19" s="70">
        <f t="shared" si="0"/>
        <v>48960</v>
      </c>
      <c r="D19" s="70">
        <f t="shared" si="1"/>
        <v>48995</v>
      </c>
      <c r="E19" s="70">
        <f t="shared" si="2"/>
        <v>49093</v>
      </c>
      <c r="F19" s="70">
        <f t="shared" si="6"/>
        <v>49129</v>
      </c>
      <c r="G19" s="70">
        <f t="shared" si="3"/>
        <v>49191</v>
      </c>
      <c r="H19" s="70">
        <f t="shared" si="7"/>
        <v>49258</v>
      </c>
      <c r="I19" s="70">
        <f t="shared" si="4"/>
        <v>49271</v>
      </c>
      <c r="J19" s="70">
        <f t="shared" si="8"/>
        <v>49272</v>
      </c>
      <c r="K19" s="70">
        <f t="shared" si="9"/>
        <v>49303</v>
      </c>
      <c r="L19" s="70">
        <f t="shared" si="10"/>
        <v>49114</v>
      </c>
      <c r="M19" s="70"/>
      <c r="X19" s="70"/>
    </row>
    <row r="20" spans="1:24" x14ac:dyDescent="0.25">
      <c r="A20" s="2">
        <v>2035</v>
      </c>
      <c r="B20" s="70">
        <f t="shared" si="5"/>
        <v>49310</v>
      </c>
      <c r="C20" s="70">
        <f t="shared" si="0"/>
        <v>49324</v>
      </c>
      <c r="D20" s="70">
        <f t="shared" si="1"/>
        <v>49359</v>
      </c>
      <c r="E20" s="70">
        <f t="shared" si="2"/>
        <v>49457</v>
      </c>
      <c r="F20" s="70">
        <f t="shared" si="6"/>
        <v>49494</v>
      </c>
      <c r="G20" s="70">
        <f t="shared" si="3"/>
        <v>49555</v>
      </c>
      <c r="H20" s="70">
        <f t="shared" si="7"/>
        <v>49625</v>
      </c>
      <c r="I20" s="70">
        <f t="shared" si="4"/>
        <v>49635</v>
      </c>
      <c r="J20" s="70">
        <f t="shared" si="8"/>
        <v>49636</v>
      </c>
      <c r="K20" s="70">
        <f t="shared" si="9"/>
        <v>49668</v>
      </c>
      <c r="L20" s="70">
        <f t="shared" si="10"/>
        <v>49479</v>
      </c>
      <c r="M20" s="70"/>
      <c r="X20" s="70"/>
    </row>
    <row r="21" spans="1:24" x14ac:dyDescent="0.25">
      <c r="A21">
        <v>2036</v>
      </c>
      <c r="B21" s="70">
        <f t="shared" si="5"/>
        <v>49675</v>
      </c>
      <c r="C21" s="70">
        <f t="shared" si="0"/>
        <v>49695</v>
      </c>
      <c r="D21" s="70">
        <f t="shared" si="1"/>
        <v>49723</v>
      </c>
      <c r="E21" s="70">
        <f t="shared" si="2"/>
        <v>49821</v>
      </c>
      <c r="F21" s="70">
        <f t="shared" si="6"/>
        <v>49860</v>
      </c>
      <c r="G21" s="70">
        <f t="shared" si="3"/>
        <v>49919</v>
      </c>
      <c r="H21" s="70">
        <f t="shared" si="7"/>
        <v>49990</v>
      </c>
      <c r="I21" s="70">
        <f t="shared" si="4"/>
        <v>50006</v>
      </c>
      <c r="J21" s="70">
        <f t="shared" si="8"/>
        <v>50007</v>
      </c>
      <c r="K21" s="70">
        <f t="shared" si="9"/>
        <v>50034</v>
      </c>
      <c r="L21" s="70">
        <f t="shared" si="10"/>
        <v>49845</v>
      </c>
      <c r="M21" s="70"/>
      <c r="X21" s="70"/>
    </row>
    <row r="22" spans="1:24" x14ac:dyDescent="0.25">
      <c r="A22" s="2">
        <v>2037</v>
      </c>
      <c r="B22" s="70">
        <f t="shared" si="5"/>
        <v>50041</v>
      </c>
      <c r="C22" s="70">
        <f t="shared" si="0"/>
        <v>50059</v>
      </c>
      <c r="D22" s="70">
        <f t="shared" si="1"/>
        <v>50087</v>
      </c>
      <c r="E22" s="70">
        <f t="shared" si="2"/>
        <v>50185</v>
      </c>
      <c r="F22" s="70">
        <f t="shared" si="6"/>
        <v>50224</v>
      </c>
      <c r="G22" s="70">
        <f t="shared" si="3"/>
        <v>50290</v>
      </c>
      <c r="H22" s="70">
        <f t="shared" si="7"/>
        <v>50355</v>
      </c>
      <c r="I22" s="70">
        <f t="shared" si="4"/>
        <v>50370</v>
      </c>
      <c r="J22" s="70">
        <f t="shared" si="8"/>
        <v>50371</v>
      </c>
      <c r="K22" s="70">
        <f t="shared" si="9"/>
        <v>50399</v>
      </c>
      <c r="L22" s="70">
        <f t="shared" si="10"/>
        <v>50210</v>
      </c>
      <c r="M22" s="70"/>
      <c r="X22" s="70"/>
    </row>
    <row r="23" spans="1:24" x14ac:dyDescent="0.25">
      <c r="A23">
        <v>2038</v>
      </c>
      <c r="B23" s="70">
        <f t="shared" si="5"/>
        <v>50406</v>
      </c>
      <c r="C23" s="70">
        <f t="shared" si="0"/>
        <v>50423</v>
      </c>
      <c r="D23" s="70">
        <f t="shared" si="1"/>
        <v>50451</v>
      </c>
      <c r="E23" s="70">
        <f t="shared" si="2"/>
        <v>50556</v>
      </c>
      <c r="F23" s="70">
        <f t="shared" si="6"/>
        <v>50591</v>
      </c>
      <c r="G23" s="70">
        <f t="shared" si="3"/>
        <v>50654</v>
      </c>
      <c r="H23" s="70">
        <f t="shared" si="7"/>
        <v>50720</v>
      </c>
      <c r="I23" s="70">
        <f t="shared" si="4"/>
        <v>50734</v>
      </c>
      <c r="J23" s="70">
        <f t="shared" si="8"/>
        <v>50735</v>
      </c>
      <c r="K23" s="70">
        <f t="shared" si="9"/>
        <v>50763</v>
      </c>
      <c r="L23" s="70">
        <f t="shared" si="10"/>
        <v>50574</v>
      </c>
      <c r="M23" s="70"/>
      <c r="X23" s="70"/>
    </row>
    <row r="24" spans="1:24" x14ac:dyDescent="0.25">
      <c r="A24" s="2">
        <v>2039</v>
      </c>
      <c r="B24" s="70">
        <f t="shared" si="5"/>
        <v>50770</v>
      </c>
      <c r="C24" s="70">
        <f t="shared" si="0"/>
        <v>50787</v>
      </c>
      <c r="D24" s="70">
        <f t="shared" si="1"/>
        <v>50822</v>
      </c>
      <c r="E24" s="70">
        <f t="shared" si="2"/>
        <v>50920</v>
      </c>
      <c r="F24" s="70">
        <f t="shared" si="6"/>
        <v>50955</v>
      </c>
      <c r="G24" s="70">
        <f t="shared" si="3"/>
        <v>51018</v>
      </c>
      <c r="H24" s="70">
        <f t="shared" si="7"/>
        <v>51085</v>
      </c>
      <c r="I24" s="70">
        <f t="shared" si="4"/>
        <v>51098</v>
      </c>
      <c r="J24" s="70">
        <f t="shared" si="8"/>
        <v>51099</v>
      </c>
      <c r="K24" s="70">
        <f t="shared" si="9"/>
        <v>51130</v>
      </c>
      <c r="L24" s="70">
        <f t="shared" si="10"/>
        <v>50941</v>
      </c>
      <c r="M24" s="70"/>
      <c r="X24" s="70"/>
    </row>
    <row r="25" spans="1:24" x14ac:dyDescent="0.25">
      <c r="A25">
        <v>2040</v>
      </c>
      <c r="B25" s="70">
        <f t="shared" si="5"/>
        <v>51137</v>
      </c>
      <c r="C25" s="70">
        <f t="shared" si="0"/>
        <v>51151</v>
      </c>
      <c r="D25" s="70">
        <f t="shared" si="1"/>
        <v>51186</v>
      </c>
      <c r="E25" s="70">
        <f t="shared" si="2"/>
        <v>51284</v>
      </c>
      <c r="F25" s="70">
        <f t="shared" si="6"/>
        <v>51321</v>
      </c>
      <c r="G25" s="70">
        <f t="shared" si="3"/>
        <v>51382</v>
      </c>
      <c r="H25" s="70">
        <f t="shared" si="7"/>
        <v>51452</v>
      </c>
      <c r="I25" s="70">
        <f t="shared" si="4"/>
        <v>51462</v>
      </c>
      <c r="J25" s="70">
        <f t="shared" si="8"/>
        <v>51463</v>
      </c>
      <c r="K25" s="70">
        <f t="shared" si="9"/>
        <v>51495</v>
      </c>
      <c r="L25" s="70">
        <f t="shared" si="10"/>
        <v>51306</v>
      </c>
      <c r="M25" s="70"/>
      <c r="X25" s="70"/>
    </row>
    <row r="26" spans="1:24" x14ac:dyDescent="0.25">
      <c r="A26" s="2">
        <v>2041</v>
      </c>
      <c r="B26" s="70">
        <f t="shared" si="5"/>
        <v>51502</v>
      </c>
      <c r="C26" s="70">
        <f t="shared" si="0"/>
        <v>51522</v>
      </c>
      <c r="D26" s="70">
        <f t="shared" si="1"/>
        <v>51550</v>
      </c>
      <c r="E26" s="70">
        <f t="shared" si="2"/>
        <v>51648</v>
      </c>
      <c r="F26" s="70">
        <f t="shared" si="6"/>
        <v>51686</v>
      </c>
      <c r="G26" s="70">
        <f t="shared" si="3"/>
        <v>51746</v>
      </c>
      <c r="H26" s="70">
        <f t="shared" si="7"/>
        <v>51816</v>
      </c>
      <c r="I26" s="70">
        <f t="shared" si="4"/>
        <v>51833</v>
      </c>
      <c r="J26" s="70">
        <f t="shared" si="8"/>
        <v>51834</v>
      </c>
      <c r="K26" s="70">
        <f t="shared" si="9"/>
        <v>51860</v>
      </c>
      <c r="L26" s="70">
        <f t="shared" si="10"/>
        <v>51671</v>
      </c>
      <c r="M26" s="70"/>
      <c r="X26" s="70"/>
    </row>
    <row r="27" spans="1:24" x14ac:dyDescent="0.25">
      <c r="A27">
        <v>2042</v>
      </c>
      <c r="B27" s="70">
        <f t="shared" si="5"/>
        <v>51867</v>
      </c>
      <c r="C27" s="70">
        <f t="shared" si="0"/>
        <v>51886</v>
      </c>
      <c r="D27" s="70">
        <f t="shared" si="1"/>
        <v>51914</v>
      </c>
      <c r="E27" s="70">
        <f t="shared" si="2"/>
        <v>52012</v>
      </c>
      <c r="F27" s="70">
        <f t="shared" si="6"/>
        <v>52051</v>
      </c>
      <c r="G27" s="70">
        <f t="shared" si="3"/>
        <v>52110</v>
      </c>
      <c r="H27" s="70">
        <f t="shared" si="7"/>
        <v>52181</v>
      </c>
      <c r="I27" s="70">
        <f t="shared" si="4"/>
        <v>52197</v>
      </c>
      <c r="J27" s="70">
        <f t="shared" si="8"/>
        <v>52198</v>
      </c>
      <c r="K27" s="70">
        <f t="shared" si="9"/>
        <v>52225</v>
      </c>
      <c r="L27" s="70">
        <f t="shared" si="10"/>
        <v>52036</v>
      </c>
      <c r="M27" s="70"/>
      <c r="X27" s="70"/>
    </row>
    <row r="28" spans="1:24" x14ac:dyDescent="0.25">
      <c r="A28" s="2">
        <v>2043</v>
      </c>
      <c r="B28" s="70">
        <f t="shared" si="5"/>
        <v>52232</v>
      </c>
      <c r="C28" s="70">
        <f t="shared" si="0"/>
        <v>52250</v>
      </c>
      <c r="D28" s="70">
        <f t="shared" si="1"/>
        <v>52278</v>
      </c>
      <c r="E28" s="70">
        <f t="shared" si="2"/>
        <v>52376</v>
      </c>
      <c r="F28" s="70">
        <f t="shared" si="6"/>
        <v>52415</v>
      </c>
      <c r="G28" s="70">
        <f t="shared" si="3"/>
        <v>52481</v>
      </c>
      <c r="H28" s="70">
        <f t="shared" si="7"/>
        <v>52546</v>
      </c>
      <c r="I28" s="70">
        <f t="shared" si="4"/>
        <v>52561</v>
      </c>
      <c r="J28" s="70">
        <f t="shared" si="8"/>
        <v>52562</v>
      </c>
      <c r="K28" s="70">
        <f t="shared" si="9"/>
        <v>52590</v>
      </c>
      <c r="L28" s="70">
        <f t="shared" si="10"/>
        <v>52401</v>
      </c>
      <c r="M28" s="70"/>
      <c r="X28" s="70"/>
    </row>
    <row r="29" spans="1:24" x14ac:dyDescent="0.25">
      <c r="A29">
        <v>2044</v>
      </c>
      <c r="B29" s="70">
        <f t="shared" si="5"/>
        <v>52597</v>
      </c>
      <c r="C29" s="70">
        <f t="shared" si="0"/>
        <v>52614</v>
      </c>
      <c r="D29" s="70">
        <f t="shared" si="1"/>
        <v>52642</v>
      </c>
      <c r="E29" s="70">
        <f t="shared" si="2"/>
        <v>52747</v>
      </c>
      <c r="F29" s="70">
        <f t="shared" si="6"/>
        <v>52782</v>
      </c>
      <c r="G29" s="70">
        <f t="shared" si="3"/>
        <v>52845</v>
      </c>
      <c r="H29" s="70">
        <f t="shared" si="7"/>
        <v>52912</v>
      </c>
      <c r="I29" s="70">
        <f t="shared" si="4"/>
        <v>52925</v>
      </c>
      <c r="J29" s="70">
        <f t="shared" si="8"/>
        <v>52926</v>
      </c>
      <c r="K29" s="70">
        <f t="shared" si="9"/>
        <v>52957</v>
      </c>
      <c r="L29" s="70">
        <f t="shared" si="10"/>
        <v>52768</v>
      </c>
      <c r="M29" s="70"/>
      <c r="X29" s="70"/>
    </row>
    <row r="30" spans="1:24" x14ac:dyDescent="0.25">
      <c r="A30" s="2">
        <v>2045</v>
      </c>
      <c r="B30" s="70">
        <f t="shared" si="5"/>
        <v>52964</v>
      </c>
      <c r="C30" s="70">
        <f t="shared" si="0"/>
        <v>52978</v>
      </c>
      <c r="D30" s="70">
        <f t="shared" si="1"/>
        <v>53013</v>
      </c>
      <c r="E30" s="70">
        <f t="shared" si="2"/>
        <v>53111</v>
      </c>
      <c r="F30" s="70">
        <f t="shared" si="6"/>
        <v>53147</v>
      </c>
      <c r="G30" s="70">
        <f t="shared" si="3"/>
        <v>53209</v>
      </c>
      <c r="H30" s="70">
        <f t="shared" si="7"/>
        <v>53276</v>
      </c>
      <c r="I30" s="70">
        <f t="shared" si="4"/>
        <v>53289</v>
      </c>
      <c r="J30" s="70">
        <f t="shared" si="8"/>
        <v>53290</v>
      </c>
      <c r="K30" s="70">
        <f t="shared" si="9"/>
        <v>53321</v>
      </c>
      <c r="L30" s="70">
        <f t="shared" si="10"/>
        <v>53132</v>
      </c>
      <c r="M30" s="70"/>
      <c r="X30" s="70"/>
    </row>
    <row r="31" spans="1:24" x14ac:dyDescent="0.25">
      <c r="A31">
        <v>2046</v>
      </c>
      <c r="B31" s="70">
        <f t="shared" si="5"/>
        <v>53328</v>
      </c>
      <c r="C31" s="70">
        <f t="shared" si="0"/>
        <v>53342</v>
      </c>
      <c r="D31" s="70">
        <f t="shared" si="1"/>
        <v>53377</v>
      </c>
      <c r="E31" s="70">
        <f t="shared" si="2"/>
        <v>53475</v>
      </c>
      <c r="F31" s="70">
        <f t="shared" si="6"/>
        <v>53512</v>
      </c>
      <c r="G31" s="70">
        <f t="shared" si="3"/>
        <v>53573</v>
      </c>
      <c r="H31" s="70">
        <f t="shared" si="7"/>
        <v>53643</v>
      </c>
      <c r="I31" s="70">
        <f t="shared" si="4"/>
        <v>53653</v>
      </c>
      <c r="J31" s="70">
        <f t="shared" si="8"/>
        <v>53654</v>
      </c>
      <c r="K31" s="70">
        <f t="shared" si="9"/>
        <v>53686</v>
      </c>
      <c r="L31" s="70">
        <f t="shared" si="10"/>
        <v>53497</v>
      </c>
      <c r="M31" s="70"/>
      <c r="X31" s="70"/>
    </row>
    <row r="32" spans="1:24" x14ac:dyDescent="0.25">
      <c r="A32" s="2">
        <v>2047</v>
      </c>
      <c r="B32" s="70">
        <f t="shared" si="5"/>
        <v>53693</v>
      </c>
      <c r="C32" s="70">
        <f t="shared" si="0"/>
        <v>53713</v>
      </c>
      <c r="D32" s="70">
        <f t="shared" si="1"/>
        <v>53741</v>
      </c>
      <c r="E32" s="70">
        <f t="shared" si="2"/>
        <v>53839</v>
      </c>
      <c r="F32" s="70">
        <f t="shared" si="6"/>
        <v>53877</v>
      </c>
      <c r="G32" s="70">
        <f t="shared" si="3"/>
        <v>53937</v>
      </c>
      <c r="H32" s="70">
        <f t="shared" si="7"/>
        <v>54007</v>
      </c>
      <c r="I32" s="70">
        <f t="shared" si="4"/>
        <v>54024</v>
      </c>
      <c r="J32" s="70">
        <f t="shared" si="8"/>
        <v>54025</v>
      </c>
      <c r="K32" s="70">
        <f t="shared" si="9"/>
        <v>54051</v>
      </c>
      <c r="L32" s="70">
        <f t="shared" si="10"/>
        <v>53862</v>
      </c>
      <c r="M32" s="70"/>
      <c r="X32" s="70"/>
    </row>
    <row r="33" spans="1:24" x14ac:dyDescent="0.25">
      <c r="A33">
        <v>2048</v>
      </c>
      <c r="B33" s="70">
        <f t="shared" si="5"/>
        <v>54058</v>
      </c>
      <c r="C33" s="70">
        <f t="shared" si="0"/>
        <v>54077</v>
      </c>
      <c r="D33" s="70">
        <f t="shared" si="1"/>
        <v>54105</v>
      </c>
      <c r="E33" s="70">
        <f t="shared" si="2"/>
        <v>54203</v>
      </c>
      <c r="F33" s="70">
        <f t="shared" si="6"/>
        <v>54242</v>
      </c>
      <c r="G33" s="70">
        <f t="shared" si="3"/>
        <v>54308</v>
      </c>
      <c r="H33" s="70">
        <f t="shared" si="7"/>
        <v>54373</v>
      </c>
      <c r="I33" s="70">
        <f t="shared" si="4"/>
        <v>54388</v>
      </c>
      <c r="J33" s="70">
        <f t="shared" si="8"/>
        <v>54389</v>
      </c>
      <c r="K33" s="70">
        <f t="shared" si="9"/>
        <v>54417</v>
      </c>
      <c r="L33" s="70">
        <f t="shared" si="10"/>
        <v>54228</v>
      </c>
      <c r="M33" s="70"/>
      <c r="X33" s="70"/>
    </row>
    <row r="34" spans="1:24" x14ac:dyDescent="0.25">
      <c r="A34" s="2">
        <v>2049</v>
      </c>
      <c r="B34" s="70">
        <f t="shared" si="5"/>
        <v>54424</v>
      </c>
      <c r="C34" s="70">
        <f t="shared" si="0"/>
        <v>54441</v>
      </c>
      <c r="D34" s="70">
        <f t="shared" si="1"/>
        <v>54469</v>
      </c>
      <c r="E34" s="70">
        <f t="shared" si="2"/>
        <v>54574</v>
      </c>
      <c r="F34" s="70">
        <f t="shared" si="6"/>
        <v>54609</v>
      </c>
      <c r="G34" s="70">
        <f t="shared" si="3"/>
        <v>54672</v>
      </c>
      <c r="H34" s="70">
        <f t="shared" si="7"/>
        <v>54738</v>
      </c>
      <c r="I34" s="70">
        <f t="shared" si="4"/>
        <v>54752</v>
      </c>
      <c r="J34" s="70">
        <f t="shared" si="8"/>
        <v>54753</v>
      </c>
      <c r="K34" s="70">
        <f t="shared" si="9"/>
        <v>54781</v>
      </c>
      <c r="L34" s="70">
        <f t="shared" si="10"/>
        <v>54592</v>
      </c>
      <c r="M34" s="70"/>
      <c r="X34" s="70"/>
    </row>
    <row r="35" spans="1:24" x14ac:dyDescent="0.25">
      <c r="A35">
        <v>2050</v>
      </c>
      <c r="B35" s="70">
        <f t="shared" si="5"/>
        <v>54788</v>
      </c>
      <c r="C35" s="70">
        <f t="shared" si="0"/>
        <v>54805</v>
      </c>
      <c r="D35" s="70">
        <f t="shared" si="1"/>
        <v>54840</v>
      </c>
      <c r="E35" s="70">
        <f t="shared" si="2"/>
        <v>54938</v>
      </c>
      <c r="F35" s="70">
        <f t="shared" si="6"/>
        <v>54973</v>
      </c>
      <c r="G35" s="70">
        <f t="shared" si="3"/>
        <v>55036</v>
      </c>
      <c r="H35" s="70">
        <f t="shared" si="7"/>
        <v>55103</v>
      </c>
      <c r="I35" s="70">
        <f t="shared" si="4"/>
        <v>55116</v>
      </c>
      <c r="J35" s="70">
        <f t="shared" si="8"/>
        <v>55117</v>
      </c>
      <c r="K35" s="70">
        <f t="shared" si="9"/>
        <v>55148</v>
      </c>
      <c r="L35" s="70">
        <f t="shared" si="10"/>
        <v>54959</v>
      </c>
      <c r="M35" s="70"/>
      <c r="X35" s="70"/>
    </row>
  </sheetData>
  <mergeCells count="1">
    <mergeCell ref="C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2"/>
  <sheetViews>
    <sheetView workbookViewId="0">
      <selection activeCell="A2" sqref="A2"/>
    </sheetView>
  </sheetViews>
  <sheetFormatPr defaultRowHeight="15" x14ac:dyDescent="0.25"/>
  <sheetData>
    <row r="1" spans="1:1" x14ac:dyDescent="0.25">
      <c r="A1" t="s">
        <v>80</v>
      </c>
    </row>
    <row r="2" spans="1:1" x14ac:dyDescent="0.25">
      <c r="A2"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3 9 5 7 8 c 8 1 - 2 0 4 a - 4 5 0 6 - a 4 1 b - 5 1 1 d 7 4 3 2 3 5 4 d " > < T r a n s i t i o n > M o v e T o < / T r a n s i t i o n > < E f f e c t > S t a t i o n < / E f f e c t > < T h e m e > B i n g R o a d < / T h e m e > < T h e m e W i t h L a b e l > f a l s e < / T h e m e W i t h L a b e l > < F l a t M o d e E n a b l e d > f a l s e < / F l a t M o d e E n a b l e d > < D u r a t i o n > 1 0 0 0 0 0 0 0 0 < / D u r a t i o n > < T r a n s i t i o n D u r a t i o n > 3 0 0 0 0 0 0 0 < / T r a n s i t i o n D u r a t i o n > < S p e e d > 0 . 5 < / S p e e d > < F r a m e > < C a m e r a > < L a t i t u d e > 5 0 . 0 2 8 5 7 9 5 6 8 9 0 1 5 4 2 < / L a t i t u d e > < L o n g i t u d e > 1 5 7 . 7 0 3 4 3 1 2 3 2 3 5 6 5 6 < / L o n g i t u d e > < R o t a t i o n > 0 < / R o t a t i o n > < P i v o t A n g l e > 0 . 0 0 1 7 9 7 9 1 2 4 8 2 0 2 6 8 0 0 9 < / P i v o t A n g l e > < D i s t a n c e > 8 < / D i s t a n c e > < / C a m e r a > < I m a g e > i V B O R w 0 K G g o A A A A N S U h E U g A A A N Q A A A B 1 C A Y A A A A 2 n s 9 T A A A A A X N S R 0 I A r s 4 c 6 Q A A A A R n Q U 1 B A A C x j w v 8 Y Q U A A A A J c E h Z c w A A A m I A A A J i A W y J d J c A A A v 7 S U R B V H h e 7 d z 7 b 1 v l G Q f w 7 / H t 2 E 5 s 5 w Z t 0 h Q o a 6 G 0 Z Y i N X d i m b W i g S Z M m s U m T 0 P h h 0 i S k T d p f N W k / T W K / j G t L K W s L v U K 7 3 p s m b d r S N E 0 a x 3 c f + 9 j e 8 7 z n O A k l H Q V e O / 3 h + 7 F e 2 T 5 2 H C v 2 N 8 / z v u f Y z r 8 P H e + A i K y I h O d E Z A E D R W S R t H w n 2 P I R W e K 8 d Z i B I r K F L R + R R Q w U k U X S 8 p 1 k y 0 d k i f P W x w w U k S 3 O 2 w w U k T W c Q x F Z J B X q U 1 Y o I k u c t z 9 h o I h s c d 5 h o I i s 4 R y K y C K p U J + x Q h F Z 4 r x z h I E i s o U t H 5 F F z r t H T r F C E V n C C k V k k f P u U V Y o I l t Y o Y g s c t 4 7 e p o V i s g S V i g i i 5 z 3 j r F C E d n C C k V k k f P + s f + y Q h F Z 4 r x / n I E i s o U t H 5 F F D B S R R d L y n W H L R 2 S J s / c E A 0 V k C 1 s + I o s Y K C K L p O U 7 y 5 a P y B J n 3 0 k G i s g W t n x E F j F Q R B Z J y 3 e O L R + R J c 4 H n z J Q R L Y w U A + Z l J v A + O g E G n 4 b F 2 5 H g 4 2 d D v R F c h z H X I 1 E I o j H 4 0 i 0 r g H t u t l G D w c G 6 i G x Z 3 I E B S 8 N 1 1 / A b G U M C 2 W Z 3 o Y B U j / Y 2 k A u 1 Q 6 v A f s u J 0 2 w M k k g l 2 y h W L o R 3 k I b S V 8 1 O e P Y q P H d x z d h M t V B v h L F W F p C k 8 u i J b n R / 3 I d r U z h y E p o u p f 3 X n L N + W N D H h 5 J e 9 g + 6 u H 5 b e M Y j Z s 6 x r G B I 7 L O N o 4 + D C f i 4 E c 7 x g G / j q Q b x 4 A b g e d L 5 b m U w N 1 q s P j 6 / c m G O V 9 b m d T m b M u c Z x I d T C 3 E 8 M F l F w c v A 9 F Y C n v G s 1 / 6 X R z 9 G 8 7 + z 8 6 z 5 e u z w W Q C y X g G E 1 k f s V j c b G t 4 D f x n V s L w F V 7 a X s f V J Z k / x T o o 1 S O o N R 2 8 s N W T U C V N V X v l a Q + V a g 1 T d 0 p o m V e Z + k k C d Y G B 6 q N E 1 M E z m 7 O I x e N h C 9 e W q V J Q k X R e p N M m 2 f z A J o d a M p f q S N s n 5 U 0 e S + d V + i D 5 f A G z B Q + y J b w n 9 Q P / 2 n 0 0 m k l h s T 6 B p a V F t N s t N B u N l T B p i H 7 4 m P f A Y d L a 8 + x 4 E 9 v H m q g 2 I m j 4 D l q d K P y 2 h K n S Q b V S w k R K X u B W 0 D Z S f z j 7 T 7 F C 9 U s 7 s h U v T F Y x N 3 c b I y P D c F 0 3 v A W Y K 0 Y x H s 6 N P i 9 E c X 0 5 h o r 3 1 S 2 b 3 u N X T 9 U x X 4 o i L 3 O v n Z u a w Q 3 i 2 q 0 C O l 4 e + W g m 3 E K 9 5 n z I Q P X F i 0 9 t Q b l c R q v V M k H S y 2 4 i g b i M 9 R y + 6 p r 5 0 Y N 4 W Q L V p W 1 k s x 2 R 1 r I D 3 / e x s L C I + T t 3 0 B n e E t 6 D e k k b b j n j 6 O W I u z l 4 n g e v 7 p k w L S 7 M I 5 k e v G + Y V K O l P x u 0 d f e j Q V o b J q U 7 f z V M K h q N I p V K I p 1 O o V a T O d Y 6 z 4 3 D 7 u A c q g 9 2 P x r F z R s 3 k X A T M s 8 B k q k B x O Q v n 8 8 v h f c I 1 G q 1 8 F K w m p e K d x A P w 9 E V D V + x d O K L 2 7 U S T U 1 N 4 4 5 W o / A m D V c s F p N K 6 K K 1 c C X Y S D 3 l f H j 6 4 h d f G b L K j c f w 7 J Z h 3 F 1 a Q r P p Y y i b M c v b u i h R b g 0 g l 6 g j H k + g X C p i M H P / Z f O r S z H k a x F 8 b 0 s D B 2 d c e L 7 z h e r 0 w V R y 3 Q W N n 0 z K H C q f x + z s L C I j E 3 A H O J / q J V a o H v O d S Q l P G 5 n B Q R k D K 2 1 e M p l C J l r F 7 U r K X P 9 / Y V L b R n w T J q V V T h s M X W b v u t / q 4 E f T S U S k r O l y + q E j 0 + F W 6 h X n w O l L r F A 9 t O O R L N r N K j K Z 1 c q g C x N 3 5 u c x I A H L Z n N o t i C t X X j j P Z r N p j k Q d q 0 z c 3 G z q v c g G l 4 d l d I y i s u L y C / O 4 e W X 9 o S 3 U C + w Q v V Y d i C B S r U a X g v o Y s H 4 x I S 0 e S V z f b 0 w F Z a D + V U 3 T N N 3 Y + Z c 2 7 1 7 w 7 Q 5 o w s O 6 9 M d x 7 r y p z W t u 8 + L e o f H 8 v V w F O q P m I W H y D 1 v 5 J Y f H O i a y W b D N z t w 8 c J F c 9 5 o B G 3 d p e J m 0 9 J 1 x 3 d G f X O u c 6 d 7 3 S 4 F Y V t P c D S G / I 7 w 9 5 w 5 L b / n n u f J Y W / w X 1 Y P t V s + c r k h D A 3 l U A u r l L Z w D b 8 Z t H L h c X z a A u 5 8 Z q d 5 4 / t y m 6 o 0 V l + a 4 X s O j n 1 Q u v C x M s J K d f H i t f B W 6 o W I N A I 8 9 e j 0 x F B d g t P A 2 b P n k E q n z R 9 c W 7 h U M m n a P j 2 e r 1 6 v m + V t N T 9 / B + n 0 g L n 8 4 8 c 9 c 6 6 W 6 x F 8 e G V 1 A e J B 6 W J I W 8 I a D N 8 E S 3 f 2 r n 2 O P N k 9 s U L 1 U D Z e R g s u J i e 3 m C q k V U k V l / M o F w t m H 1 E q l U J J L q v N m z d h c f E u v H o N t w q r 8 y Q 3 2 j G f k f o 6 d O 7 U k m q n F U / P W x I k v d y t g N Q b n E P 1 c B y d T e D g d B y V S l X e y C 1 T n W 5 c n 0 V 2 a B i 5 4 R H z J t d P 5 u b k u q p 5 T Y y N j e L g 9 W H M 5 l f n R f V 1 5 k 1 f R a u S L w H u h s o E S 6 7 r 9 v W e K 4 e d w Q r V Q 8 9 t K p s 2 a 9 u 2 J 5 B I x F E s L E v p C E p N r V p B V C r U 6 V s J 8 7 m m s 7 f i O D y b M Q s P g 2 4 H P 3 1 y t e X 7 u r p z M d 9 v S K h W R 7 P p S a j v v 4 B B 3 x 7 n U D 0 8 n V + I o 9 n w 5 I 3 t o 1 A o I D 0 w i C 1 b H z d v + H q t h n J 4 N P n M U h S 3 y 6 s t 3 k i 6 L Z V t 9 U j 0 r 8 u E a S V E 4 W j I f M 6 r Y / e e p 9 c 8 Q 5 5 s n 1 i h e u j R s Q Q 8 r 4 p T 1 1 v I 5 X L m q G 8 9 Y k E / B 5 W S c L V b w X x m Y U 2 Y d m 3 y c T 2 / z o 6 p B 6 S L D 7 6 E W I M c D A m S D N 3 B 6 9 W r e O 7 5 X e E 9 q R c 4 h + r h 0 N 1 P d W n t a q W 7 s g G 4 U H 7 S h C k S j S K Z T O L Y z U G z X c X l v t l k G + f n v 2 l L 1 j F h a k i I G m G A g h D V T J D q t a q 5 H I n q E 5 O 7 c / R k s E L 1 W L 1 a k r m S i 6 W i z F + i H X x 0 L Y s D M 4 N m r r R W U 6 Z W R Z l L f V O t V t u E S d u 6 h i e h M u c 1 M z R I 9 Z r M 2 b q H q l P P y F 9 4 n Z h x W B u 7 n h r G 1 f k K r s z V E W n b / z i 6 L o / r n K l p w t M N k V Q j H V K Z P A l S r V I y w f 7 9 H 3 4 j P 7 H + 8 + S w M y L r b + a w N Q b S C S l T e Q l U D Y v L F d O O d d r t L 3 0 w 8 J s I l s Y b Q R X q V i M d 2 u Z J i 6 d V q V Y t y y j K v T s Y H R 1 e 9 z l y 2 B u c Q / V h D I 9 l U C 4 t o 1 o u o i 7 V Q i v H 6 W / x R a 8 a S B O k R h g e e b x G W I 0 0 R P V a W S q S B E l + V 7 V U k M t V / O K l F 9 d 9 b h x 2 B 5 v q P t i 6 d Q w R b w G P d q a Q 8 G 6 Z q n E n X 4 H v V c y O 1 + 4 R 4 T r u Z b a Z 2 9 o y T / L N y l 1 Q h T R A 3 b Y u W H Q w Y Z L H N g s h 0 u J p g C u V o t n 3 9 M z u H e E j U i 8 5 B 8 9 N f / l V p J 7 Y t + 8 U f r 5 7 E G c W R + C 6 K e z e E s X M c h q R a M w c 2 6 c f r z D H 9 c n Q f 3 j 6 w p i g 6 T F 5 3 Y N c p c 3 T Y J l D i c J 9 T H 5 z d R F C w 6 W B r Z Y L K B f z 5 l H + 8 r c / r R w v S L 3 l H G K g + m Y 5 X 8 Q n x 6 a Q H M i Z 7 5 V I u E m p H q 4 5 Y k J D p f u o V k I V C i p X G K i W H u w q Y T K B 0 i P W g 5 2 3 w e p e U L W 0 S u l 3 8 u m H C r W y v f b 6 q 2 b u R P 3 h H D r P Q P X T 3 n c O o d a M Y N v 4 A P L N L O I J F 7 F Y Q i q U h k q q l A l V s N d d o m T K 1 G q g t D p 1 K 5 Q E S o M k 1 a m p 3 6 h k q l O w C K H V S R / j s c c m 8 d v f v R L + Z u o H B m o D 7 N / 7 M c q l K p x E F s M Z F x M j C d w s 6 X c / a J X S 1 k / i F F a p l Q q l 1 c m E S o 8 a 1 0 D p 4 U S 6 E z d o 9 0 x 1 k n m T X t Z K 9 / T O H X j 5 1 z 8 z j 0 H 9 I 4 G a Y a A 2 Q L m Q x 5 t v H j D f z + c m 0 9 g 8 H M P I Y A x X 8 2 7 Y + n U D 1 a 1 Q G q r V 6 q Q H v u o O X D 2 s q L v K p / f R j 4 S 8 9 s d X M T w 6 Z H 6 e + s s 5 z E B t q A P / + g e i E q B r x Q x y A 3 F M D F S R z W V x 9 r Z r F i a U V i m t T i v t X r g Y E e z E 9 S R 8 M C H U z 1 b 9 + Y 3 X w p + i j e A c v s B A P Q z 2 / / P v K N d 8 z J W D O Z U J S A L m 6 5 i D Q G m F 6 l Y n X W r v m C q W T G i a X L z x 1 9 f D R 6 K N J I G 6 y k A 9 R O Z m p n D u + C E 0 Z Z 4 0 s x g 1 w V m r O 7 / S 1 u 7 n v 3 w R O 3 d t D 2 + h h w E D R W Q R j 5 Q g s s j 5 + C I r F J E t E q h r D B S R J W z 5 i C x i o I g s c j 6 5 x J a P y B Y J 1 C w D R W Q J W z 4 i i x g o I o u c I 5 f Z 8 h H Z I o G 6 z k A R W c K W j 8 g i B o r I I u f I F F s + I l u c o 1 M 3 G C g i S 9 j y E V n E Q B F Z 5 B y 9 w p a P y B b n 2 J W b D B S R J W z 5 i C x i o I g s c o 5 N s + U j s s U 5 P v 0 5 A 0 V k C V s + I o s Y K C K L n O M z t 9 j y E V n C C k V k k X O C F Y r I G u f E V Q a K y B Y J 1 B w D R W Q J 5 1 B E F j k n W a G I r G G F I r L I O X n t N i s U k S W s U E Q W M V B E F j m f z r L l I 7 J F A j X P Q B F Z w p a P y B r g f / C j H i G W X 3 J R 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 G u i d = " 6 e 3 f a f e 8 - 5 a f 1 - 4 f e 1 - b 0 2 a - 2 2 8 7 b 1 e a 6 9 6 3 "   R e v = " 1 "   R e v G u i d = " 6 a 0 f e b d 4 - 4 0 6 6 - 4 2 c 2 - b 6 8 9 - 3 d 8 c 7 7 b 3 5 b a a " 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T o u r   1 "   I d = " { 9 E 1 C 9 3 C E - 8 C 5 4 - 4 B 3 0 - 9 9 7 7 - 4 C 3 9 9 E 4 B D D A E } "   T o u r I d = " b 2 f c 3 e 3 7 - 9 8 c 6 - 4 c c 1 - 9 3 c b - 3 e 1 1 f e d 0 0 c e 5 "   X m l V e r = " 5 "   M i n X m l V e r = " 3 " > < D e s c r i p t i o n > S o m e   d e s c r i p t i o n   f o r   t h e   t o u r   g o e s   h e r e < / D e s c r i p t i o n > < I m a g e > i V B O R w 0 K G g o A A A A N S U h E U g A A A N Q A A A B 1 C A Y A A A A 2 n s 9 T A A A A A X N S R 0 I A r s 4 c 6 Q A A A A R n Q U 1 B A A C x j w v 8 Y Q U A A A A J c E h Z c w A A A m I A A A J i A W y J d J c A A A v 7 S U R B V H h e 7 d z 7 b 1 v l G Q f w 7 / H t 2 E 5 s 5 w Z t 0 h Q o a 6 G 0 Z Y i N X d i m b W i g S Z M m s U m T 0 P h h 0 i S k T d p f N W k / T W K / j G t L K W s L v U K 7 3 p s m b d r S N E 0 a x 3 c f + 9 j e 8 7 z n O A k l H Q V e O / 3 h + 7 F e 2 T 5 2 H C v 2 N 8 / z v u f Y z r 8 P H e + A i K y I h O d E Z A E D R W S R t H w n 2 P I R W e K 8 d Z i B I r K F L R + R R Q w U k U X S 8 p 1 k y 0 d k i f P W x w w U k S 3 O 2 w w U k T W c Q x F Z J B X q U 1 Y o I k u c t z 9 h o I h s c d 5 h o I i s 4 R y K y C K p U J + x Q h F Z 4 r x z h I E i s o U t H 5 F F z r t H T r F C E V n C C k V k k f P u U V Y o I l t Y o Y g s c t 4 7 e p o V i s g S V i g i i 5 z 3 j r F C E d n C C k V k k f P + s f + y Q h F Z 4 r x / n I E i s o U t H 5 F F D B S R R d L y n W H L R 2 S J s / c E A 0 V k C 1 s + I o s Y K C K L p O U 7 y 5 a P y B J n 3 0 k G i s g W t n x E F j F Q R B Z J y 3 e O L R + R J c 4 H n z J Q R L Y w U A + Z l J v A + O g E G n 4 b F 2 5 H g 4 2 d D v R F c h z H X I 1 E I o j H 4 0 i 0 r g H t u t l G D w c G 6 i G x Z 3 I E B S 8 N 1 1 / A b G U M C 2 W Z 3 o Y B U j / Y 2 k A u 1 Q 6 v A f s u J 0 2 w M k k g l 2 y h W L o R 3 k I b S V 8 1 O e P Y q P H d x z d h M t V B v h L F W F p C k 8 u i J b n R / 3 I d r U z h y E p o u p f 3 X n L N + W N D H h 5 J e 9 g + 6 u H 5 b e M Y j Z s 6 x r G B I 7 L O N o 4 + D C f i 4 E c 7 x g G / j q Q b x 4 A b g e d L 5 b m U w N 1 q s P j 6 / c m G O V 9 b m d T m b M u c Z x I d T C 3 E 8 M F l F w c v A 9 F Y C n v G s 1 / 6 X R z 9 G 8 7 + z 8 6 z 5 e u z w W Q C y X g G E 1 k f s V j c b G t 4 D f x n V s L w F V 7 a X s f V J Z k / x T o o 1 S O o N R 2 8 s N W T U C V N V X v l a Q + V a g 1 T d 0 p o m V e Z + k k C d Y G B 6 q N E 1 M E z m 7 O I x e N h C 9 e W q V J Q k X R e p N M m 2 f z A J o d a M p f q S N s n 5 U 0 e S + d V + i D 5 f A G z B Q + y J b w n 9 Q P / 2 n 0 0 m k l h s T 6 B p a V F t N s t N B u N l T B p i H 7 4 m P f A Y d L a 8 + x 4 E 9 v H m q g 2 I m j 4 D l q d K P y 2 h K n S Q b V S w k R K X u B W 0 D Z S f z j 7 T 7 F C 9 U s 7 s h U v T F Y x N 3 c b I y P D c F 0 3 v A W Y K 0 Y x H s 6 N P i 9 E c X 0 5 h o r 3 1 S 2 b 3 u N X T 9 U x X 4 o i L 3 O v n Z u a w Q 3 i 2 q 0 C O l 4 e + W g m 3 E K 9 5 n z I Q P X F i 0 9 t Q b l c R q v V M k H S y 2 4 i g b i M 9 R y + 6 p r 5 0 Y N 4 W Q L V p W 1 k s x 2 R 1 r I D 3 / e x s L C I + T t 3 0 B n e E t 6 D e k k b b j n j 6 O W I u z l 4 n g e v 7 p k w L S 7 M I 5 k e v G + Y V K O l P x u 0 d f e j Q V o b J q U 7 f z V M K h q N I p V K I p 1 O o V a T O d Y 6 z 4 3 D 7 u A c q g 9 2 P x r F z R s 3 k X A T M s 8 B k q k B x O Q v n 8 8 v h f c I 1 G q 1 8 F K w m p e K d x A P w 9 E V D V + x d O K L 2 7 U S T U 1 N 4 4 5 W o / A m D V c s F p N K 6 K K 1 c C X Y S D 3 l f H j 6 4 h d f G b L K j c f w 7 J Z h 3 F 1 a Q r P p Y y i b M c v b u i h R b g 0 g l 6 g j H k + g X C p i M H P / Z f O r S z H k a x F 8 b 0 s D B 2 d c e L 7 z h e r 0 w V R y 3 Q W N n 0 z K H C q f x + z s L C I j E 3 A H O J / q J V a o H v O d S Q l P G 5 n B Q R k D K 2 1 e M p l C J l r F 7 U r K X P 9 / Y V L b R n w T J q V V T h s M X W b v u t / q 4 E f T S U S k r O l y + q E j 0 + F W 6 h X n w O l L r F A 9 t O O R L N r N K j K Z 1 c q g C x N 3 5 u c x I A H L Z n N o t i C t X X j j P Z r N p j k Q d q 0 z c 3 G z q v c g G l 4 d l d I y i s u L y C / O 4 e W X 9 o S 3 U C + w Q v V Y d i C B S r U a X g v o Y s H 4 x I S 0 e S V z f b 0 w F Z a D + V U 3 T N N 3 Y + Z c 2 7 1 7 w 7 Q 5 o w s O 6 9 M d x 7 r y p z W t u 8 + L e o f H 8 v V w F O q P m I W H y D 1 v 5 J Y f H O i a y W b D N z t w 8 c J F c 9 5 o B G 3 d p e J m 0 9 J 1 x 3 d G f X O u c 6 d 7 3 S 4 F Y V t P c D S G / I 7 w 9 5 w 5 L b / n n u f J Y W / w X 1 Y P t V s + c r k h D A 3 l U A u r l L Z w D b 8 Z t H L h c X z a A u 5 8 Z q d 5 4 / t y m 6 o 0 V l + a 4 X s O j n 1 Q u v C x M s J K d f H i t f B W 6 o W I N A I 8 9 e j 0 x F B d g t P A 2 b P n k E q n z R 9 c W 7 h U M m n a P j 2 e r 1 6 v m + V t N T 9 / B + n 0 g L n 8 4 8 c 9 c 6 6 W 6 x F 8 e G V 1 A e J B 6 W J I W 8 I a D N 8 E S 3 f 2 r n 2 O P N k 9 s U L 1 U D Z e R g s u J i e 3 m C q k V U k V l / M o F w t m H 1 E q l U J J L q v N m z d h c f E u v H o N t w q r 8 y Q 3 2 j G f k f o 6 d O 7 U k m q n F U / P W x I k v d y t g N Q b n E P 1 c B y d T e D g d B y V S l X e y C 1 T n W 5 c n 0 V 2 a B i 5 4 R H z J t d P 5 u b k u q p 5 T Y y N j e L g 9 W H M 5 l f n R f V 1 5 k 1 f R a u S L w H u h s o E S 6 7 r 9 v W e K 4 e d w Q r V Q 8 9 t K p s 2 a 9 u 2 J 5 B I x F E s L E v p C E p N r V p B V C r U 6 V s J 8 7 m m s 7 f i O D y b M Q s P g 2 4 H P 3 1 y t e X 7 u r p z M d 9 v S K h W R 7 P p S a j v v 4 B B 3 x 7 n U D 0 8 n V + I o 9 n w 5 I 3 t o 1 A o I D 0 w i C 1 b H z d v + H q t h n J 4 N P n M U h S 3 y 6 s t 3 k i 6 L Z V t 9 U j 0 r 8 u E a S V E 4 W j I f M 6 r Y / e e p 9 c 8 Q 5 5 s n 1 i h e u j R s Q Q 8 r 4 p T 1 1 v I 5 X L m q G 8 9 Y k E / B 5 W S c L V b w X x m Y U 2 Y d m 3 y c T 2 / z o 6 p B 6 S L D 7 6 E W I M c D A m S D N 3 B 6 9 W r e O 7 5 X e E 9 q R c 4 h + r h 0 N 1 P d W n t a q W 7 s g G 4 U H 7 S h C k S j S K Z T O L Y z U G z X c X l v t l k G + f n v 2 l L 1 j F h a k i I G m G A g h D V T J D q t a q 5 H I n q E 5 O 7 c / R k s E L 1 W L 1 a k r m S i 6 W i z F + i H X x 0 L Y s D M 4 N m r r R W U 6 Z W R Z l L f V O t V t u E S d u 6 h i e h M u c 1 M z R I 9 Z r M 2 b q H q l P P y F 9 4 n Z h x W B u 7 n h r G 1 f k K r s z V E W n b / z i 6 L o / r n K l p w t M N k V Q j H V K Z P A l S r V I y w f 7 9 H 3 4 j P 7 H + 8 + S w M y L r b + a w N Q b S C S l T e Q l U D Y v L F d O O d d r t L 3 0 w 8 J s I l s Y b Q R X q V i M d 2 u Z J i 6 d V q V Y t y y j K v T s Y H R 1 e 9 z l y 2 B u c Q / V h D I 9 l U C 4 t o 1 o u o i 7 V Q i v H 6 W / x R a 8 a S B O k R h g e e b x G W I 0 0 R P V a W S q S B E l + V 7 V U k M t V / O K l F 9 d 9 b h x 2 B 5 v q P t i 6 d Q w R b w G P d q a Q 8 G 6 Z q n E n X 4 H v V c y O 1 + 4 R 4 T r u Z b a Z 2 9 o y T / L N y l 1 Q h T R A 3 b Y u W H Q w Y Z L H N g s h 0 u J p g C u V o t n 3 9 M z u H e E j U i 8 5 B 8 9 N f / l V p J 7 Y t + 8 U f r 5 7 E G c W R + C 6 K e z e E s X M c h q R a M w c 2 6 c f r z D H 9 c n Q f 3 j 6 w p i g 6 T F 5 3 Y N c p c 3 T Y J l D i c J 9 T H 5 z d R F C w 6 W B r Z Y L K B f z 5 l H + 8 r c / r R w v S L 3 l H G K g + m Y 5 X 8 Q n x 6 a Q H M i Z 7 5 V I u E m p H q 4 5 Y k J D p f u o V k I V C i p X G K i W H u w q Y T K B 0 i P W g 5 2 3 w e p e U L W 0 S u l 3 8 u m H C r W y v f b 6 q 2 b u R P 3 h H D r P Q P X T 3 n c O o d a M Y N v 4 A P L N L O I J F 7 F Y Q i q U h k q q l A l V s N d d o m T K 1 G q g t D p 1 K 5 Q E S o M k 1 a m p 3 6 h k q l O w C K H V S R / j s c c m 8 d v f v R L + Z u o H B m o D 7 N / 7 M c q l K p x E F s M Z F x M j C d w s 6 X c / a J X S 1 k / i F F a p l Q q l 1 c m E S o 8 a 1 0 D p 4 U S 6 E z d o 9 0 x 1 k n m T X t Z K 9 / T O H X j 5 1 z 8 z j 0 H 9 I 4 G a Y a A 2 Q L m Q x 5 t v H j D f z + c m 0 9 g 8 H M P I Y A x X 8 2 7 Y + n U D 1 a 1 Q G q r V 6 q Q H v u o O X D 2 s q L v K p / f R j 4 S 8 9 s d X M T w 6 Z H 6 e + s s 5 z E B t q A P / + g e i E q B r x Q x y A 3 F M D F S R z W V x 9 r Z r F i a U V i m t T i v t X r g Y E e z E 9 S R 8 M C H U z 1 b 9 + Y 3 X w p + i j e A c v s B A P Q z 2 / / P v K N d 8 z J W D O Z U J S A L m 6 5 i D Q G m F 6 l Y n X W r v m C q W T G i a X L z x 1 9 f D R 6 K N J I G 6 y k A 9 R O Z m p n D u + C E 0 Z Z 4 0 s x g 1 w V m r O 7 / S 1 u 7 n v 3 w R O 3 d t D 2 + h h w E D R W Q R j 5 Q g s s j 5 + C I r F J E t E q h r D B S R J W z 5 i C x i o I g s c j 6 5 x J a P y B Y J 1 C w D R W Q J W z 4 i i x g o I o u c I 5 f Z 8 h H Z I o G 6 z k A R W c K W j 8 g i B o r I I u f I F F s + I l u c o 1 M 3 G C g i S 9 j y E V n E Q B F Z 5 B y 9 w p a P y B b n 2 J W b D B S R J W z 5 i C x i o I g s c o 5 N s + U j s s U 5 P v 0 5 A 0 V k C V s + I o s Y K C K L n O M z t 9 j y E V n C C k V k k X O C F Y r I G u f E V Q a K y B Y J 1 B w D R W Q J 5 1 B E F j k n W a G I r G G F I r L I O X n t N i s U k S W s U E Q W M V B E F j m f z r L l I 7 J F A j X P Q B F Z w p a P y B r g f / C j H i G W X 3 J R A A A A A E l F T k S u Q m C C < / I m a g e > < / T o u r > < / T o u r s > < / V i s u a l i z a t i o n > 
</file>

<file path=customXml/item3.xml><?xml version="1.0" encoding="utf-8"?>
<ct:contentTypeSchema xmlns:ct="http://schemas.microsoft.com/office/2006/metadata/contentType" xmlns:ma="http://schemas.microsoft.com/office/2006/metadata/properties/metaAttributes" ct:_="" ma:_="" ma:contentTypeName="Document" ma:contentTypeID="0x010100017F2E81B9547F44A8610279FA37C4DA" ma:contentTypeVersion="25" ma:contentTypeDescription="Create a new document." ma:contentTypeScope="" ma:versionID="22c188f14553045f2e830201d1dcdde7">
  <xsd:schema xmlns:xsd="http://www.w3.org/2001/XMLSchema" xmlns:xs="http://www.w3.org/2001/XMLSchema" xmlns:p="http://schemas.microsoft.com/office/2006/metadata/properties" xmlns:ns1="http://schemas.microsoft.com/sharepoint/v3" xmlns:ns2="b6afe888-f51a-4c3d-82c6-e39c96fc34be" xmlns:ns3="fdb9e8f5-e773-48b6-ac01-e4d5d934d6b8" targetNamespace="http://schemas.microsoft.com/office/2006/metadata/properties" ma:root="true" ma:fieldsID="fb654226d0a209cdc05384a8d4a3a7c1" ns1:_="" ns2:_="" ns3:_="">
    <xsd:import namespace="http://schemas.microsoft.com/sharepoint/v3"/>
    <xsd:import namespace="b6afe888-f51a-4c3d-82c6-e39c96fc34be"/>
    <xsd:import namespace="fdb9e8f5-e773-48b6-ac01-e4d5d934d6b8"/>
    <xsd:element name="properties">
      <xsd:complexType>
        <xsd:sequence>
          <xsd:element name="documentManagement">
            <xsd:complexType>
              <xsd:all>
                <xsd:element ref="ns1:PublishingStartDate" minOccurs="0"/>
                <xsd:element ref="ns1:PublishingExpirationDate" minOccurs="0"/>
                <xsd:element ref="ns2:Category"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fe888-f51a-4c3d-82c6-e39c96fc34be" elementFormDefault="qualified">
    <xsd:import namespace="http://schemas.microsoft.com/office/2006/documentManagement/types"/>
    <xsd:import namespace="http://schemas.microsoft.com/office/infopath/2007/PartnerControls"/>
    <xsd:element name="Category" ma:index="6" nillable="true" ma:displayName="Category" ma:format="Dropdown" ma:internalName="Category" ma:readOnly="false">
      <xsd:simpleType>
        <xsd:restriction base="dms:Choice">
          <xsd:enumeration value="Event Fliers"/>
          <xsd:enumeration value="Fact Sheets"/>
          <xsd:enumeration value="Form"/>
          <xsd:enumeration value="Policy"/>
          <xsd:enumeration value="Presentations"/>
          <xsd:enumeration value="Procedure"/>
          <xsd:enumeration value="Publication"/>
          <xsd:enumeration value="Template"/>
          <xsd:enumeration value="Get Help"/>
          <xsd:enumeration value="Other"/>
          <xsd:enumeration value="News"/>
          <xsd:enumeration value="Newsletters"/>
          <xsd:enumeration value="Tenant Bulletins"/>
          <xsd:enumeration value="CF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b9e8f5-e773-48b6-ac01-e4d5d934d6b8"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b6afe888-f51a-4c3d-82c6-e39c96fc34b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E1C93CE-8C54-4B30-9977-4C399E4BDDAE}">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CB3A9EDD-BC05-449F-89C7-969E33C84A1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4DE2E2E3-0156-45C3-8732-9EE227954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afe888-f51a-4c3d-82c6-e39c96fc34be"/>
    <ds:schemaRef ds:uri="fdb9e8f5-e773-48b6-ac01-e4d5d934d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4B7B134-3CDB-49DA-8E82-1A683B4D2FDE}">
  <ds:schemaRefs>
    <ds:schemaRef ds:uri="http://schemas.microsoft.com/sharepoint/v3/contenttype/forms"/>
  </ds:schemaRefs>
</ds:datastoreItem>
</file>

<file path=customXml/itemProps5.xml><?xml version="1.0" encoding="utf-8"?>
<ds:datastoreItem xmlns:ds="http://schemas.openxmlformats.org/officeDocument/2006/customXml" ds:itemID="{8C395F83-E264-4974-9C26-37F293667509}">
  <ds:schemaRefs>
    <ds:schemaRef ds:uri="http://www.w3.org/XML/1998/namespace"/>
    <ds:schemaRef ds:uri="http://schemas.microsoft.com/office/infopath/2007/PartnerControls"/>
    <ds:schemaRef ds:uri="http://schemas.microsoft.com/office/2006/documentManagement/types"/>
    <ds:schemaRef ds:uri="http://purl.org/dc/terms/"/>
    <ds:schemaRef ds:uri="4f5804d5-49c0-4153-b9d4-3ac3acf566d3"/>
    <ds:schemaRef ds:uri="http://schemas.microsoft.com/office/2006/metadata/properties"/>
    <ds:schemaRef ds:uri="http://purl.org/dc/dcmitype/"/>
    <ds:schemaRef ds:uri="http://purl.org/dc/elements/1.1/"/>
    <ds:schemaRef ds:uri="http://schemas.openxmlformats.org/package/2006/metadata/core-properties"/>
    <ds:schemaRef ds:uri="http://schemas.microsoft.com/sharepoint/v3"/>
    <ds:schemaRef ds:uri="b6afe888-f51a-4c3d-82c6-e39c96fc34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Solicitation Calulator</vt:lpstr>
      <vt:lpstr>PCMS Solicitation Timeline</vt:lpstr>
      <vt:lpstr>Variables</vt:lpstr>
      <vt:lpstr>Holidays Dont Touch</vt:lpstr>
      <vt:lpstr>Validation</vt:lpstr>
      <vt:lpstr>BeginResearch</vt:lpstr>
      <vt:lpstr>CalendarYear</vt:lpstr>
      <vt:lpstr>CompleteResearch</vt:lpstr>
      <vt:lpstr>TimelineDates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2015-06-05T18:17:20Z</dcterms:created>
  <dcterms:modified xsi:type="dcterms:W3CDTF">2023-02-01T23:54:21Z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0x010100017F2E81B9547F44A8610279FA37C4DA</vt:lpwstr>
  </property>
  <property fmtid="{D5CDD505-2E9C-101B-9397-08002B2CF9AE}" pid="3" name="wic_System_Copyright">
    <vt:lpwstr/>
  </property>
  <property fmtid="{D5CDD505-2E9C-101B-9397-08002B2CF9AE}" pid="4" name="vti_imgdate">
    <vt:lpwstr/>
  </property>
</Properties>
</file>